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hidePivotFieldList="1" defaultThemeVersion="124226"/>
  <mc:AlternateContent xmlns:mc="http://schemas.openxmlformats.org/markup-compatibility/2006">
    <mc:Choice Requires="x15">
      <x15ac:absPath xmlns:x15ac="http://schemas.microsoft.com/office/spreadsheetml/2010/11/ac" url="G:\GROUPS\CASHFLOW\FY27\Daily Cash\0726\"/>
    </mc:Choice>
  </mc:AlternateContent>
  <xr:revisionPtr revIDLastSave="0" documentId="13_ncr:1_{CBC8EDD5-BC6F-4C2A-988C-A200E5C13F06}" xr6:coauthVersionLast="47" xr6:coauthVersionMax="47" xr10:uidLastSave="{00000000-0000-0000-0000-000000000000}"/>
  <bookViews>
    <workbookView xWindow="-28920" yWindow="-120" windowWidth="29040" windowHeight="15720" xr2:uid="{3F2E6F76-A579-4381-ACBE-DB6FC9D43892}"/>
  </bookViews>
  <sheets>
    <sheet name="Dashboard" sheetId="150" r:id="rId1"/>
    <sheet name="Data" sheetId="149" state="hidden" r:id="rId2"/>
    <sheet name="Activity" sheetId="1" r:id="rId3"/>
    <sheet name="Detail" sheetId="121" r:id="rId4"/>
    <sheet name="Monthly Projections June" sheetId="195" r:id="rId5"/>
    <sheet name="Monthly Projections July" sheetId="196" r:id="rId6"/>
    <sheet name="Source Codes" sheetId="175" state="hidden" r:id="rId7"/>
  </sheets>
  <externalReferences>
    <externalReference r:id="rId8"/>
    <externalReference r:id="rId9"/>
    <externalReference r:id="rId10"/>
    <externalReference r:id="rId11"/>
  </externalReferences>
  <definedNames>
    <definedName name="_xlnm._FilterDatabase" localSheetId="1" hidden="1">Data!$A$77:$B$77</definedName>
    <definedName name="_xlnm._FilterDatabase" localSheetId="3" hidden="1">Detail!$A$1:$S$4</definedName>
    <definedName name="_xlnm._FilterDatabase" localSheetId="6" hidden="1">'Source Codes'!$A$5:$B$5</definedName>
    <definedName name="_xlnm.Print_Area" localSheetId="0">Dashboard!$A$1:$M$68</definedName>
    <definedName name="_xlnm.Print_Titles" localSheetId="2">Activity!$1:$1</definedName>
  </definedNames>
  <calcPr calcId="191029"/>
  <pivotCaches>
    <pivotCache cacheId="5" r:id="rId12"/>
    <pivotCache cacheId="6" r:id="rId13"/>
    <pivotCache cacheId="7" r:id="rId14"/>
    <pivotCache cacheId="8" r:id="rId15"/>
    <pivotCache cacheId="9" r:id="rId16"/>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695" i="1" l="1"/>
  <c r="B695" i="1"/>
  <c r="G694" i="1"/>
  <c r="B694" i="1"/>
  <c r="G693" i="1"/>
  <c r="B693" i="1"/>
  <c r="H48" i="150"/>
  <c r="B72" i="149"/>
  <c r="F48" i="150" l="1"/>
  <c r="E48" i="150"/>
  <c r="I98" i="196" l="1"/>
  <c r="I4306" i="121" l="1"/>
  <c r="I4307" i="121"/>
  <c r="I4309" i="121"/>
  <c r="I75" i="196"/>
  <c r="J4310" i="121" l="1"/>
  <c r="G692" i="1"/>
  <c r="B692" i="1"/>
  <c r="C59" i="150"/>
  <c r="C60" i="150"/>
  <c r="A60" i="150"/>
  <c r="A59" i="150"/>
  <c r="H47" i="150" l="1"/>
  <c r="F47" i="150"/>
  <c r="E47" i="150"/>
  <c r="I37" i="195" l="1"/>
  <c r="I60" i="195"/>
  <c r="I4299" i="121" l="1"/>
  <c r="I4300" i="121"/>
  <c r="I4302" i="121"/>
  <c r="J4303" i="121"/>
  <c r="G691" i="1"/>
  <c r="B691" i="1"/>
  <c r="I124" i="196"/>
  <c r="I4295" i="121" l="1"/>
  <c r="I4293" i="121"/>
  <c r="J4296" i="121"/>
  <c r="G690" i="1"/>
  <c r="B690" i="1"/>
  <c r="H46" i="150" l="1"/>
  <c r="F46" i="150"/>
  <c r="E46" i="150"/>
  <c r="G689" i="1" l="1"/>
  <c r="B689" i="1"/>
  <c r="I111" i="195"/>
  <c r="I55" i="195"/>
  <c r="P4284" i="121"/>
  <c r="I4284" i="121" l="1"/>
  <c r="I4288" i="121"/>
  <c r="I4287" i="121"/>
  <c r="I4286" i="121"/>
  <c r="I4285" i="121"/>
  <c r="J4290" i="121"/>
  <c r="G688" i="1"/>
  <c r="B688" i="1"/>
  <c r="G687" i="1"/>
  <c r="B687" i="1"/>
  <c r="G686" i="1"/>
  <c r="B686" i="1"/>
  <c r="H45" i="150"/>
  <c r="F45" i="150"/>
  <c r="E45" i="150"/>
  <c r="I77" i="195" l="1"/>
  <c r="I83" i="195"/>
  <c r="I96" i="195" l="1"/>
  <c r="I79" i="195"/>
  <c r="I75" i="195"/>
  <c r="J4281" i="121" l="1"/>
  <c r="P4263" i="121"/>
  <c r="P4264" i="121"/>
  <c r="P4265" i="121"/>
  <c r="P4266" i="121"/>
  <c r="P4267" i="121"/>
  <c r="P4268" i="121"/>
  <c r="P4262" i="121"/>
  <c r="P4273" i="121"/>
  <c r="P4274" i="121"/>
  <c r="P4275" i="121"/>
  <c r="P4276" i="121"/>
  <c r="P4277" i="121"/>
  <c r="P4278" i="121"/>
  <c r="P4279" i="121"/>
  <c r="P4280" i="121"/>
  <c r="P4272" i="121"/>
  <c r="I4273" i="121"/>
  <c r="I4274" i="121"/>
  <c r="I4275" i="121"/>
  <c r="I4276" i="121"/>
  <c r="I4277" i="121"/>
  <c r="I4278" i="121"/>
  <c r="I4279" i="121"/>
  <c r="I4280" i="121"/>
  <c r="I4272" i="121"/>
  <c r="G685" i="1"/>
  <c r="B685" i="1"/>
  <c r="I78" i="196" l="1"/>
  <c r="I4264" i="121"/>
  <c r="J4269" i="121" l="1"/>
  <c r="I4268" i="121"/>
  <c r="I4267" i="121"/>
  <c r="I4266" i="121"/>
  <c r="I4265" i="121"/>
  <c r="I4263" i="121"/>
  <c r="I4262" i="121"/>
  <c r="G684" i="1"/>
  <c r="B684" i="1"/>
  <c r="I130" i="195"/>
  <c r="I4258" i="121" l="1"/>
  <c r="I4257" i="121"/>
  <c r="I4256" i="121"/>
  <c r="J4259" i="121"/>
  <c r="G683" i="1"/>
  <c r="B683" i="1"/>
  <c r="I87" i="195"/>
  <c r="P4252" i="121"/>
  <c r="I57" i="195"/>
  <c r="I4252" i="121" l="1"/>
  <c r="I4251" i="121"/>
  <c r="I4250" i="121"/>
  <c r="I4249" i="121"/>
  <c r="I4248" i="121"/>
  <c r="I4247" i="121"/>
  <c r="I4246" i="121"/>
  <c r="I4245" i="121"/>
  <c r="I4244" i="121"/>
  <c r="I4243" i="121"/>
  <c r="J4253" i="121"/>
  <c r="G682" i="1"/>
  <c r="B682" i="1"/>
  <c r="C58" i="150" l="1"/>
  <c r="A58" i="150"/>
  <c r="I4238" i="121" l="1"/>
  <c r="I4237" i="121"/>
  <c r="I4239" i="121"/>
  <c r="J4240" i="121"/>
  <c r="G681" i="1"/>
  <c r="B681" i="1"/>
  <c r="G680" i="1"/>
  <c r="B680" i="1"/>
  <c r="G679" i="1"/>
  <c r="B679" i="1"/>
  <c r="J4234" i="121" l="1"/>
  <c r="I97" i="196"/>
  <c r="I98" i="195"/>
  <c r="P4228" i="121" l="1"/>
  <c r="P4229" i="121"/>
  <c r="P4230" i="121"/>
  <c r="P4231" i="121"/>
  <c r="P4232" i="121"/>
  <c r="P4233" i="121"/>
  <c r="P4176" i="121"/>
  <c r="P4156" i="121"/>
  <c r="P4157" i="121"/>
  <c r="P4158" i="121"/>
  <c r="P4159" i="121"/>
  <c r="P4160" i="121"/>
  <c r="P4161" i="121"/>
  <c r="P4165" i="121"/>
  <c r="P4169" i="121"/>
  <c r="P4170" i="121"/>
  <c r="P4171" i="121"/>
  <c r="P4172" i="121"/>
  <c r="P4177" i="121"/>
  <c r="P4178" i="121"/>
  <c r="P4179" i="121"/>
  <c r="P4180" i="121"/>
  <c r="P4181" i="121"/>
  <c r="P4182" i="121"/>
  <c r="P4183" i="121"/>
  <c r="P4184" i="121"/>
  <c r="P4185" i="121"/>
  <c r="P4186" i="121"/>
  <c r="P4187" i="121"/>
  <c r="P4188" i="121"/>
  <c r="P4189" i="121"/>
  <c r="P4193" i="121"/>
  <c r="P4194" i="121"/>
  <c r="P4195" i="121"/>
  <c r="P4196" i="121"/>
  <c r="P4197" i="121"/>
  <c r="P4198" i="121"/>
  <c r="P4202" i="121"/>
  <c r="P4203" i="121"/>
  <c r="P4204" i="121"/>
  <c r="P4205" i="121"/>
  <c r="P4206" i="121"/>
  <c r="P4207" i="121"/>
  <c r="P4208" i="121"/>
  <c r="P4209" i="121"/>
  <c r="P4213" i="121"/>
  <c r="P4214" i="121"/>
  <c r="P4218" i="121"/>
  <c r="P4222" i="121"/>
  <c r="P4223" i="121"/>
  <c r="P4224" i="121"/>
  <c r="I4229" i="121"/>
  <c r="I4230" i="121"/>
  <c r="I4231" i="121"/>
  <c r="I4232" i="121"/>
  <c r="I4233" i="121"/>
  <c r="I4228" i="121"/>
  <c r="G678" i="1"/>
  <c r="B678" i="1"/>
  <c r="I4223" i="121" l="1"/>
  <c r="I4224" i="121"/>
  <c r="I4222" i="121"/>
  <c r="J4225" i="121"/>
  <c r="G677" i="1"/>
  <c r="B677" i="1"/>
  <c r="I4218" i="121" l="1"/>
  <c r="J4219" i="121"/>
  <c r="G676" i="1"/>
  <c r="B676" i="1"/>
  <c r="C44" i="150"/>
  <c r="A44" i="150"/>
  <c r="D93" i="149" l="1"/>
  <c r="D94" i="149"/>
  <c r="D95" i="149"/>
  <c r="D96" i="149"/>
  <c r="D97" i="149"/>
  <c r="D98" i="149"/>
  <c r="D99" i="149"/>
  <c r="D100" i="149"/>
  <c r="D101" i="149"/>
  <c r="D102" i="149"/>
  <c r="D103" i="149"/>
  <c r="D104" i="149"/>
  <c r="D105" i="149"/>
  <c r="D106" i="149"/>
  <c r="D107" i="149"/>
  <c r="D108" i="149"/>
  <c r="D109" i="149"/>
  <c r="D110" i="149"/>
  <c r="D111" i="149"/>
  <c r="D112" i="149"/>
  <c r="I4214" i="121" l="1"/>
  <c r="I4213" i="121"/>
  <c r="J4215" i="121"/>
  <c r="G675" i="1"/>
  <c r="B675" i="1"/>
  <c r="I68" i="195" l="1"/>
  <c r="I4207" i="121" l="1"/>
  <c r="I4209" i="121"/>
  <c r="I4208" i="121"/>
  <c r="I4206" i="121"/>
  <c r="I4205" i="121"/>
  <c r="I4204" i="121"/>
  <c r="I4203" i="121"/>
  <c r="I4202" i="121"/>
  <c r="J4210" i="121"/>
  <c r="G674" i="1" l="1"/>
  <c r="B674" i="1"/>
  <c r="G673" i="1"/>
  <c r="B673" i="1"/>
  <c r="G672" i="1"/>
  <c r="B672" i="1"/>
  <c r="G671" i="1"/>
  <c r="B671" i="1"/>
  <c r="I32" i="195" l="1"/>
  <c r="I4198" i="121"/>
  <c r="I4197" i="121"/>
  <c r="I4196" i="121"/>
  <c r="I4195" i="121"/>
  <c r="I4194" i="121"/>
  <c r="I4193" i="121"/>
  <c r="J4199" i="121" l="1"/>
  <c r="G670" i="1" l="1"/>
  <c r="B670" i="1"/>
  <c r="I59" i="195" l="1"/>
  <c r="I4185" i="121"/>
  <c r="I78" i="195" l="1"/>
  <c r="I4189" i="121" l="1"/>
  <c r="I4188" i="121"/>
  <c r="I4187" i="121"/>
  <c r="I4186" i="121"/>
  <c r="I4184" i="121"/>
  <c r="I4183" i="121"/>
  <c r="I4182" i="121"/>
  <c r="I4181" i="121"/>
  <c r="I4180" i="121"/>
  <c r="I4179" i="121"/>
  <c r="I4178" i="121"/>
  <c r="I4177" i="121"/>
  <c r="I4176" i="121"/>
  <c r="J4190" i="121"/>
  <c r="G669" i="1"/>
  <c r="B669" i="1"/>
  <c r="G135" i="196"/>
  <c r="I129" i="196"/>
  <c r="I117" i="196"/>
  <c r="I103" i="196"/>
  <c r="I96" i="196"/>
  <c r="G91" i="196"/>
  <c r="I88" i="196"/>
  <c r="I84" i="196"/>
  <c r="D82" i="196"/>
  <c r="I80" i="196"/>
  <c r="I69" i="196"/>
  <c r="I61" i="196"/>
  <c r="I39" i="196"/>
  <c r="I35" i="196"/>
  <c r="I27" i="196"/>
  <c r="I23" i="196"/>
  <c r="I14" i="196"/>
  <c r="G668" i="1"/>
  <c r="I135" i="196" l="1"/>
  <c r="I91" i="196"/>
  <c r="I4172" i="121" l="1"/>
  <c r="I4171" i="121"/>
  <c r="I4170" i="121"/>
  <c r="I4169" i="121"/>
  <c r="J4173" i="121"/>
  <c r="B668" i="1"/>
  <c r="I4165" i="121" l="1"/>
  <c r="J4166" i="121"/>
  <c r="G667" i="1"/>
  <c r="B667" i="1"/>
  <c r="G666" i="1"/>
  <c r="B666" i="1"/>
  <c r="G665" i="1"/>
  <c r="B665" i="1"/>
  <c r="A57" i="150"/>
  <c r="A43" i="150"/>
  <c r="J4162" i="121" l="1"/>
  <c r="I4161" i="121"/>
  <c r="I4160" i="121"/>
  <c r="I4157" i="121"/>
  <c r="I4158" i="121"/>
  <c r="I4159" i="121"/>
  <c r="I123" i="195"/>
  <c r="I4156" i="121" l="1"/>
  <c r="G664" i="1"/>
  <c r="B664" i="1"/>
  <c r="J4153" i="121" l="1"/>
  <c r="P4147" i="121"/>
  <c r="P4148" i="121"/>
  <c r="P4149" i="121"/>
  <c r="P4150" i="121"/>
  <c r="P4151" i="121"/>
  <c r="P4152" i="121"/>
  <c r="P4146" i="121"/>
  <c r="I4147" i="121"/>
  <c r="I4148" i="121"/>
  <c r="I4149" i="121"/>
  <c r="I4150" i="121"/>
  <c r="I4151" i="121"/>
  <c r="I4152" i="121"/>
  <c r="I4146" i="121"/>
  <c r="G663" i="1"/>
  <c r="B663" i="1"/>
  <c r="J4143" i="121" l="1"/>
  <c r="P4142" i="121"/>
  <c r="P4141" i="121"/>
  <c r="I4142" i="121"/>
  <c r="I4141" i="121"/>
  <c r="G662" i="1"/>
  <c r="B662" i="1"/>
  <c r="D113" i="149" l="1"/>
  <c r="J4138" i="121" l="1"/>
  <c r="P4136" i="121"/>
  <c r="P4137" i="121"/>
  <c r="P4135" i="121"/>
  <c r="P4125" i="121"/>
  <c r="P4126" i="121"/>
  <c r="P4127" i="121"/>
  <c r="P4128" i="121"/>
  <c r="P4129" i="121"/>
  <c r="P4130" i="121"/>
  <c r="P4131" i="121"/>
  <c r="P4124" i="121"/>
  <c r="P4119" i="121"/>
  <c r="P4120" i="121"/>
  <c r="P4121" i="121"/>
  <c r="P4118" i="121"/>
  <c r="P4109" i="121"/>
  <c r="P4110" i="121"/>
  <c r="P4111" i="121"/>
  <c r="P4112" i="121"/>
  <c r="P4113" i="121"/>
  <c r="P4114" i="121"/>
  <c r="P4108" i="121"/>
  <c r="P4104" i="121"/>
  <c r="P4103" i="121"/>
  <c r="I4136" i="121"/>
  <c r="I4137" i="121"/>
  <c r="I4135" i="121"/>
  <c r="G661" i="1"/>
  <c r="B661" i="1"/>
  <c r="C57" i="150"/>
  <c r="G658" i="1" l="1"/>
  <c r="B658" i="1"/>
  <c r="B659" i="1"/>
  <c r="G659" i="1" s="1"/>
  <c r="B660" i="1" s="1"/>
  <c r="G660" i="1" s="1"/>
  <c r="J4132" i="121"/>
  <c r="I4131" i="121"/>
  <c r="I4125" i="121"/>
  <c r="I4126" i="121"/>
  <c r="I4127" i="121"/>
  <c r="I4128" i="121"/>
  <c r="I4129" i="121"/>
  <c r="I4130" i="121"/>
  <c r="I4124" i="121"/>
  <c r="G657" i="1"/>
  <c r="B657" i="1"/>
  <c r="G656" i="1"/>
  <c r="B656" i="1"/>
  <c r="P4037" i="121"/>
  <c r="C43" i="150"/>
  <c r="I4121" i="121" l="1"/>
  <c r="I4120" i="121"/>
  <c r="I4119" i="121"/>
  <c r="I4118" i="121"/>
  <c r="J4122" i="121"/>
  <c r="G655" i="1"/>
  <c r="B655" i="1"/>
  <c r="I124" i="195"/>
  <c r="I97" i="195"/>
  <c r="I125" i="195"/>
  <c r="I108" i="195"/>
  <c r="I106" i="195"/>
  <c r="I41" i="195"/>
  <c r="I4114" i="121" l="1"/>
  <c r="I4113" i="121"/>
  <c r="I4112" i="121"/>
  <c r="I4111" i="121"/>
  <c r="I4110" i="121"/>
  <c r="I4109" i="121"/>
  <c r="I4108" i="121"/>
  <c r="J4115" i="121"/>
  <c r="G654" i="1"/>
  <c r="B654" i="1"/>
  <c r="I4104" i="121" l="1"/>
  <c r="I4103" i="121"/>
  <c r="J4105" i="121"/>
  <c r="G653" i="1"/>
  <c r="B653" i="1"/>
  <c r="G652" i="1"/>
  <c r="B652" i="1"/>
  <c r="G651" i="1"/>
  <c r="B651" i="1"/>
  <c r="J4100" i="121"/>
  <c r="P4097" i="121"/>
  <c r="P4098" i="121"/>
  <c r="P4099" i="121"/>
  <c r="I4097" i="121" l="1"/>
  <c r="I4098" i="121"/>
  <c r="I4099" i="121"/>
  <c r="I66" i="195"/>
  <c r="P4096" i="121"/>
  <c r="I4096" i="121"/>
  <c r="P4094" i="121"/>
  <c r="P4095" i="121"/>
  <c r="I4094" i="121" l="1"/>
  <c r="I4095" i="121"/>
  <c r="P4090" i="121"/>
  <c r="P4089" i="121"/>
  <c r="P4088" i="121"/>
  <c r="G650" i="1"/>
  <c r="B650" i="1"/>
  <c r="I4090" i="121" l="1"/>
  <c r="I4089" i="121"/>
  <c r="I4088" i="121"/>
  <c r="J4091" i="121"/>
  <c r="G649" i="1"/>
  <c r="B649" i="1"/>
  <c r="J4085" i="121" l="1"/>
  <c r="P4079" i="121"/>
  <c r="P4080" i="121"/>
  <c r="P4081" i="121"/>
  <c r="P4082" i="121"/>
  <c r="P4083" i="121"/>
  <c r="P4084" i="121"/>
  <c r="P4078" i="121"/>
  <c r="I4079" i="121"/>
  <c r="I4080" i="121"/>
  <c r="I4081" i="121"/>
  <c r="I4082" i="121"/>
  <c r="I4083" i="121"/>
  <c r="I4084" i="121"/>
  <c r="I4078" i="121"/>
  <c r="G648" i="1"/>
  <c r="B648" i="1"/>
  <c r="I105" i="195" l="1"/>
  <c r="J4075" i="121" l="1"/>
  <c r="P4065" i="121"/>
  <c r="P4066" i="121"/>
  <c r="P4067" i="121"/>
  <c r="P4068" i="121"/>
  <c r="P4069" i="121"/>
  <c r="P4070" i="121"/>
  <c r="P4071" i="121"/>
  <c r="P4072" i="121"/>
  <c r="P4073" i="121"/>
  <c r="P4074" i="121"/>
  <c r="P4064" i="121"/>
  <c r="I4065" i="121"/>
  <c r="I4066" i="121"/>
  <c r="I4067" i="121"/>
  <c r="I4068" i="121"/>
  <c r="I4069" i="121"/>
  <c r="I4070" i="121"/>
  <c r="I4071" i="121"/>
  <c r="I4072" i="121"/>
  <c r="I4073" i="121"/>
  <c r="I4074" i="121"/>
  <c r="I4064" i="121"/>
  <c r="G647" i="1" l="1"/>
  <c r="B647" i="1"/>
  <c r="J4061" i="121" l="1"/>
  <c r="P4058" i="121"/>
  <c r="P4059" i="121"/>
  <c r="P4060" i="121"/>
  <c r="P4057" i="121"/>
  <c r="I4058" i="121"/>
  <c r="I4059" i="121"/>
  <c r="I4060" i="121"/>
  <c r="I4057" i="121"/>
  <c r="G644" i="1"/>
  <c r="B645" i="1" s="1"/>
  <c r="G645" i="1" s="1"/>
  <c r="B646" i="1" s="1"/>
  <c r="G646" i="1" s="1"/>
  <c r="B644" i="1"/>
  <c r="J4054" i="121"/>
  <c r="P4050" i="121"/>
  <c r="P4051" i="121"/>
  <c r="P4052" i="121"/>
  <c r="P4053" i="121"/>
  <c r="P4049" i="121"/>
  <c r="I4050" i="121"/>
  <c r="I4051" i="121"/>
  <c r="I4052" i="121"/>
  <c r="I4053" i="121"/>
  <c r="I4049" i="121"/>
  <c r="G643" i="1" l="1"/>
  <c r="B643" i="1"/>
  <c r="J4046" i="121" l="1"/>
  <c r="P4045" i="121"/>
  <c r="I4045" i="121"/>
  <c r="P4043" i="121"/>
  <c r="P4044" i="121"/>
  <c r="P4042" i="121"/>
  <c r="I4042" i="121" l="1"/>
  <c r="I4043" i="121"/>
  <c r="I4044" i="121"/>
  <c r="G642" i="1"/>
  <c r="B642" i="1"/>
  <c r="J4039" i="121" l="1"/>
  <c r="I4035" i="121"/>
  <c r="I4038" i="121"/>
  <c r="I4037" i="121"/>
  <c r="I4036" i="121"/>
  <c r="G641" i="1"/>
  <c r="B641" i="1"/>
  <c r="J4032" i="121" l="1"/>
  <c r="I4031" i="121"/>
  <c r="I4030" i="121"/>
  <c r="I4029" i="121"/>
  <c r="I4028" i="121"/>
  <c r="I4027" i="121"/>
  <c r="G640" i="1"/>
  <c r="B640" i="1"/>
  <c r="I4023" i="121" l="1"/>
  <c r="I4022" i="121"/>
  <c r="J4024" i="121"/>
  <c r="G639" i="1"/>
  <c r="B639" i="1"/>
  <c r="G638" i="1"/>
  <c r="B638" i="1"/>
  <c r="G637" i="1"/>
  <c r="B637" i="1"/>
  <c r="J4019" i="121" l="1"/>
  <c r="P4014" i="121" l="1"/>
  <c r="P4015" i="121"/>
  <c r="P4016" i="121"/>
  <c r="P4017" i="121"/>
  <c r="P4018" i="121"/>
  <c r="I4014" i="121"/>
  <c r="I4015" i="121"/>
  <c r="I4016" i="121"/>
  <c r="I4017" i="121"/>
  <c r="I4018" i="121"/>
  <c r="P4008" i="121"/>
  <c r="P4009" i="121"/>
  <c r="P4010" i="121"/>
  <c r="P4011" i="121"/>
  <c r="P4012" i="121"/>
  <c r="P4013" i="121"/>
  <c r="I4008" i="121"/>
  <c r="I4009" i="121"/>
  <c r="I4010" i="121"/>
  <c r="I4011" i="121"/>
  <c r="I4012" i="121"/>
  <c r="I4013" i="121"/>
  <c r="P4007" i="121"/>
  <c r="I4007" i="121"/>
  <c r="P4006" i="121"/>
  <c r="P4005" i="121"/>
  <c r="I4005" i="121" l="1"/>
  <c r="I4006" i="121"/>
  <c r="G636" i="1"/>
  <c r="B636" i="1"/>
  <c r="J4002" i="121" l="1"/>
  <c r="P3997" i="121"/>
  <c r="P3998" i="121"/>
  <c r="P3999" i="121"/>
  <c r="P4000" i="121"/>
  <c r="P4001" i="121"/>
  <c r="P3996" i="121"/>
  <c r="I3997" i="121"/>
  <c r="I3998" i="121"/>
  <c r="I3999" i="121"/>
  <c r="I4000" i="121"/>
  <c r="I4001" i="121"/>
  <c r="I3996" i="121"/>
  <c r="G635" i="1"/>
  <c r="B635" i="1"/>
  <c r="G135" i="195" l="1"/>
  <c r="I129" i="195"/>
  <c r="I117" i="195"/>
  <c r="I103" i="195"/>
  <c r="G91" i="195"/>
  <c r="I88" i="195"/>
  <c r="D82" i="195"/>
  <c r="I80" i="195"/>
  <c r="I69" i="195"/>
  <c r="I61" i="195"/>
  <c r="I39" i="195"/>
  <c r="I35" i="195"/>
  <c r="I27" i="195"/>
  <c r="I23" i="195"/>
  <c r="I14" i="195"/>
  <c r="J3993" i="121"/>
  <c r="P3991" i="121"/>
  <c r="P3992" i="121"/>
  <c r="P3990" i="121"/>
  <c r="I3991" i="121"/>
  <c r="I3992" i="121"/>
  <c r="I3990" i="121"/>
  <c r="G634" i="1"/>
  <c r="B634" i="1"/>
  <c r="I91" i="195" l="1"/>
  <c r="C114" i="149"/>
  <c r="G630" i="1"/>
  <c r="B631" i="1" s="1"/>
  <c r="G631" i="1" s="1"/>
  <c r="B632" i="1" s="1"/>
  <c r="G632" i="1" s="1"/>
  <c r="B633" i="1" s="1"/>
  <c r="B630" i="1"/>
  <c r="G633" i="1" l="1"/>
  <c r="J3987" i="121"/>
  <c r="P3979" i="121"/>
  <c r="P3980" i="121"/>
  <c r="P3981" i="121"/>
  <c r="P3982" i="121"/>
  <c r="P3983" i="121"/>
  <c r="P3984" i="121"/>
  <c r="P3985" i="121"/>
  <c r="P3986" i="121"/>
  <c r="P3978" i="121"/>
  <c r="P3969" i="121"/>
  <c r="P3970" i="121"/>
  <c r="P3971" i="121"/>
  <c r="P3972" i="121"/>
  <c r="P3973" i="121"/>
  <c r="P3974" i="121"/>
  <c r="P3968" i="121"/>
  <c r="P3956" i="121"/>
  <c r="P3957" i="121"/>
  <c r="P3958" i="121"/>
  <c r="P3959" i="121"/>
  <c r="P3960" i="121"/>
  <c r="P3961" i="121"/>
  <c r="P3962" i="121"/>
  <c r="P3963" i="121"/>
  <c r="P3964" i="121"/>
  <c r="P3955" i="121"/>
  <c r="P3946" i="121"/>
  <c r="P3947" i="121"/>
  <c r="P3948" i="121"/>
  <c r="P3949" i="121"/>
  <c r="P3950" i="121"/>
  <c r="P3951" i="121"/>
  <c r="P3945" i="121"/>
  <c r="P3940" i="121"/>
  <c r="P3941" i="121"/>
  <c r="P3939" i="121"/>
  <c r="I3979" i="121"/>
  <c r="I3980" i="121"/>
  <c r="I3981" i="121"/>
  <c r="I3982" i="121"/>
  <c r="I3983" i="121"/>
  <c r="I3984" i="121"/>
  <c r="I3985" i="121"/>
  <c r="I3986" i="121"/>
  <c r="I3978" i="121"/>
  <c r="G629" i="1"/>
  <c r="B629" i="1"/>
  <c r="I3974" i="121" l="1"/>
  <c r="I3973" i="121"/>
  <c r="I3972" i="121"/>
  <c r="I3971" i="121"/>
  <c r="I3970" i="121"/>
  <c r="I3969" i="121"/>
  <c r="I3968" i="121"/>
  <c r="J3975" i="121"/>
  <c r="G628" i="1"/>
  <c r="B628" i="1"/>
  <c r="I3959" i="121" l="1"/>
  <c r="I3961" i="121"/>
  <c r="I3957" i="121"/>
  <c r="I3958" i="121"/>
  <c r="I3960" i="121"/>
  <c r="I3964" i="121"/>
  <c r="I3963" i="121"/>
  <c r="I3962" i="121"/>
  <c r="I3956" i="121"/>
  <c r="I3955" i="121"/>
  <c r="J3965" i="121"/>
  <c r="G627" i="1"/>
  <c r="B627" i="1"/>
  <c r="I3950" i="121" l="1"/>
  <c r="I3949" i="121"/>
  <c r="I3948" i="121"/>
  <c r="I3951" i="121"/>
  <c r="I3947" i="121"/>
  <c r="I3946" i="121"/>
  <c r="I3945" i="121"/>
  <c r="J3952" i="121"/>
  <c r="G626" i="1"/>
  <c r="B626" i="1"/>
  <c r="I3941" i="121" l="1"/>
  <c r="I3940" i="121"/>
  <c r="I3939" i="121"/>
  <c r="J3942" i="121"/>
  <c r="G625" i="1"/>
  <c r="B625" i="1"/>
  <c r="G624" i="1"/>
  <c r="B624" i="1"/>
  <c r="G623" i="1"/>
  <c r="B623" i="1"/>
  <c r="C42" i="150"/>
  <c r="A42" i="150"/>
  <c r="E87" i="149"/>
  <c r="B87" i="149"/>
  <c r="J3936" i="121" l="1"/>
  <c r="P3935" i="121"/>
  <c r="I3935" i="121"/>
  <c r="P3934" i="121"/>
  <c r="I3934" i="121"/>
  <c r="P3933" i="121" l="1"/>
  <c r="P3932" i="121" l="1"/>
  <c r="I3932" i="121" l="1"/>
  <c r="I3933" i="121"/>
  <c r="G622" i="1"/>
  <c r="B622" i="1"/>
  <c r="J3929" i="121" l="1"/>
  <c r="P3927" i="121"/>
  <c r="P3928" i="121"/>
  <c r="P3926" i="121"/>
  <c r="I3927" i="121"/>
  <c r="I3928" i="121"/>
  <c r="I3926" i="121"/>
  <c r="G621" i="1"/>
  <c r="B621" i="1"/>
  <c r="J3923" i="121" l="1"/>
  <c r="P3922" i="121"/>
  <c r="P3921" i="121"/>
  <c r="I3922" i="121"/>
  <c r="I3921" i="121"/>
  <c r="G620" i="1"/>
  <c r="B620" i="1"/>
  <c r="J3918" i="121" l="1"/>
  <c r="P3917" i="121"/>
  <c r="P3916" i="121"/>
  <c r="I3917" i="121"/>
  <c r="I3916" i="121"/>
  <c r="G619" i="1"/>
  <c r="B619" i="1"/>
  <c r="J3913" i="121" l="1"/>
  <c r="P3905" i="121"/>
  <c r="P3906" i="121"/>
  <c r="P3907" i="121"/>
  <c r="P3908" i="121"/>
  <c r="P3909" i="121"/>
  <c r="P3910" i="121"/>
  <c r="P3911" i="121"/>
  <c r="P3912" i="121"/>
  <c r="P3904" i="121"/>
  <c r="I3905" i="121"/>
  <c r="I3906" i="121"/>
  <c r="I3907" i="121"/>
  <c r="I3908" i="121"/>
  <c r="I3909" i="121"/>
  <c r="I3910" i="121"/>
  <c r="I3911" i="121"/>
  <c r="I3912" i="121"/>
  <c r="I3904" i="121"/>
  <c r="G616" i="1" l="1"/>
  <c r="B617" i="1" s="1"/>
  <c r="G617" i="1" s="1"/>
  <c r="B618" i="1" s="1"/>
  <c r="G618" i="1" s="1"/>
  <c r="B616" i="1"/>
  <c r="P3899" i="121"/>
  <c r="P3900" i="121"/>
  <c r="P3898" i="121"/>
  <c r="J3901" i="121" l="1"/>
  <c r="I3899" i="121"/>
  <c r="I3900" i="121"/>
  <c r="I3898" i="121"/>
  <c r="G615" i="1"/>
  <c r="B615" i="1"/>
  <c r="P3894" i="121"/>
  <c r="J3895" i="121" l="1"/>
  <c r="I3894" i="121"/>
  <c r="G614" i="1"/>
  <c r="B614" i="1"/>
  <c r="J3891" i="121" l="1"/>
  <c r="P3890" i="121"/>
  <c r="I3890" i="121"/>
  <c r="G613" i="1"/>
  <c r="B613" i="1"/>
  <c r="H85" i="149" l="1"/>
  <c r="H87" i="149"/>
  <c r="J3887" i="121"/>
  <c r="P3882" i="121"/>
  <c r="P3883" i="121"/>
  <c r="P3884" i="121"/>
  <c r="P3885" i="121"/>
  <c r="P3886" i="121"/>
  <c r="P3881" i="121"/>
  <c r="P3875" i="121"/>
  <c r="P3876" i="121"/>
  <c r="P3877" i="121"/>
  <c r="P3874" i="121"/>
  <c r="P3869" i="121"/>
  <c r="P3870" i="121"/>
  <c r="P3868" i="121"/>
  <c r="I3882" i="121"/>
  <c r="I3883" i="121"/>
  <c r="I3884" i="121"/>
  <c r="I3885" i="121"/>
  <c r="I3886" i="121"/>
  <c r="I3881" i="121"/>
  <c r="G612" i="1"/>
  <c r="B612" i="1"/>
  <c r="I3877" i="121" l="1"/>
  <c r="I3876" i="121"/>
  <c r="I3875" i="121"/>
  <c r="I3874" i="121"/>
  <c r="J3878" i="121"/>
  <c r="G611" i="1"/>
  <c r="B611" i="1"/>
  <c r="G610" i="1"/>
  <c r="B610" i="1"/>
  <c r="G609" i="1"/>
  <c r="B609" i="1"/>
  <c r="I3869" i="121" l="1"/>
  <c r="I3868" i="121"/>
  <c r="I3870" i="121"/>
  <c r="J3871" i="121" l="1"/>
  <c r="G608" i="1"/>
  <c r="B608" i="1"/>
  <c r="J3865" i="121" l="1"/>
  <c r="P3861" i="121"/>
  <c r="P3862" i="121"/>
  <c r="P3863" i="121"/>
  <c r="P3864" i="121"/>
  <c r="P3860" i="121"/>
  <c r="I3861" i="121"/>
  <c r="I3862" i="121"/>
  <c r="I3863" i="121"/>
  <c r="I3864" i="121"/>
  <c r="I3860" i="121"/>
  <c r="G607" i="1"/>
  <c r="B607" i="1"/>
  <c r="J3857" i="121" l="1"/>
  <c r="P3849" i="121"/>
  <c r="P3850" i="121"/>
  <c r="P3851" i="121"/>
  <c r="P3852" i="121"/>
  <c r="P3853" i="121"/>
  <c r="P3854" i="121"/>
  <c r="P3855" i="121"/>
  <c r="P3856" i="121"/>
  <c r="P3848" i="121"/>
  <c r="I3849" i="121"/>
  <c r="I3850" i="121"/>
  <c r="I3851" i="121"/>
  <c r="I3852" i="121"/>
  <c r="I3853" i="121"/>
  <c r="I3854" i="121"/>
  <c r="I3855" i="121"/>
  <c r="I3856" i="121"/>
  <c r="I3848" i="121"/>
  <c r="G606" i="1"/>
  <c r="B606" i="1"/>
  <c r="J3845" i="121" l="1"/>
  <c r="P3837" i="121"/>
  <c r="P3838" i="121"/>
  <c r="P3839" i="121"/>
  <c r="P3840" i="121"/>
  <c r="P3841" i="121"/>
  <c r="P3842" i="121"/>
  <c r="P3843" i="121"/>
  <c r="P3844" i="121"/>
  <c r="P3836" i="121"/>
  <c r="I3837" i="121"/>
  <c r="I3838" i="121"/>
  <c r="I3839" i="121"/>
  <c r="I3840" i="121"/>
  <c r="I3841" i="121"/>
  <c r="I3842" i="121"/>
  <c r="I3843" i="121"/>
  <c r="I3844" i="121"/>
  <c r="I3836" i="121"/>
  <c r="G605" i="1"/>
  <c r="B605" i="1"/>
  <c r="C56" i="150"/>
  <c r="A56" i="150"/>
  <c r="J3833" i="121" l="1"/>
  <c r="P3829" i="121" l="1"/>
  <c r="P3830" i="121"/>
  <c r="P3831" i="121"/>
  <c r="P3832" i="121"/>
  <c r="P3828" i="121"/>
  <c r="I3829" i="121"/>
  <c r="I3830" i="121"/>
  <c r="I3831" i="121"/>
  <c r="I3832" i="121"/>
  <c r="I3828" i="121"/>
  <c r="G602" i="1" l="1"/>
  <c r="B603" i="1" s="1"/>
  <c r="G603" i="1" s="1"/>
  <c r="B604" i="1" s="1"/>
  <c r="G604" i="1" s="1"/>
  <c r="B602" i="1"/>
  <c r="P3824" i="121" l="1"/>
  <c r="J3825" i="121"/>
  <c r="I3821" i="121"/>
  <c r="I3822" i="121"/>
  <c r="I3823" i="121"/>
  <c r="I3824" i="121"/>
  <c r="G601" i="1"/>
  <c r="B601" i="1"/>
  <c r="G600" i="1" l="1"/>
  <c r="B600" i="1"/>
  <c r="P3816" i="121" l="1"/>
  <c r="P3809" i="121" l="1"/>
  <c r="I3817" i="121" l="1"/>
  <c r="I3816" i="121"/>
  <c r="I3815" i="121"/>
  <c r="I3814" i="121"/>
  <c r="I3813" i="121"/>
  <c r="I3812" i="121"/>
  <c r="I3811" i="121"/>
  <c r="I3810" i="121"/>
  <c r="I3809" i="121"/>
  <c r="J3818" i="121"/>
  <c r="G599" i="1"/>
  <c r="B599" i="1"/>
  <c r="I3805" i="121" l="1"/>
  <c r="I3804" i="121"/>
  <c r="I3803" i="121"/>
  <c r="I3802" i="121"/>
  <c r="I3801" i="121"/>
  <c r="I3800" i="121"/>
  <c r="I3799" i="121"/>
  <c r="I3798" i="121"/>
  <c r="J3806" i="121"/>
  <c r="G598" i="1"/>
  <c r="B598" i="1"/>
  <c r="P3794" i="121"/>
  <c r="J3795" i="121"/>
  <c r="I3794" i="121" l="1"/>
  <c r="G597" i="1"/>
  <c r="B597" i="1"/>
  <c r="G596" i="1"/>
  <c r="B596" i="1"/>
  <c r="G595" i="1"/>
  <c r="B595" i="1"/>
  <c r="J3791" i="121" l="1"/>
  <c r="P3789" i="121"/>
  <c r="P3790" i="121"/>
  <c r="I3789" i="121"/>
  <c r="I3790" i="121"/>
  <c r="P3788" i="121"/>
  <c r="I3788" i="121"/>
  <c r="P3787" i="121"/>
  <c r="P3783" i="121"/>
  <c r="I3787" i="121" l="1"/>
  <c r="G594" i="1"/>
  <c r="B594" i="1"/>
  <c r="J3784" i="121" l="1"/>
  <c r="I3783" i="121"/>
  <c r="G593" i="1"/>
  <c r="B593" i="1"/>
  <c r="J3780" i="121" l="1"/>
  <c r="P3767" i="121"/>
  <c r="P3768" i="121"/>
  <c r="P3769" i="121"/>
  <c r="P3770" i="121"/>
  <c r="P3771" i="121"/>
  <c r="P3772" i="121"/>
  <c r="P3773" i="121"/>
  <c r="P3774" i="121"/>
  <c r="P3775" i="121"/>
  <c r="P3776" i="121"/>
  <c r="P3777" i="121"/>
  <c r="P3778" i="121"/>
  <c r="P3779" i="121"/>
  <c r="P3766" i="121"/>
  <c r="I3767" i="121"/>
  <c r="I3768" i="121"/>
  <c r="I3769" i="121"/>
  <c r="I3770" i="121"/>
  <c r="I3771" i="121"/>
  <c r="I3772" i="121"/>
  <c r="I3773" i="121"/>
  <c r="I3774" i="121"/>
  <c r="I3775" i="121"/>
  <c r="I3776" i="121"/>
  <c r="I3777" i="121"/>
  <c r="I3778" i="121"/>
  <c r="I3779" i="121"/>
  <c r="I3766" i="121"/>
  <c r="G592" i="1"/>
  <c r="B592" i="1"/>
  <c r="P3761" i="121" l="1"/>
  <c r="P3762" i="121"/>
  <c r="P3760" i="121"/>
  <c r="J3763" i="121" l="1"/>
  <c r="I3761" i="121"/>
  <c r="I3762" i="121"/>
  <c r="I3760" i="121"/>
  <c r="G591" i="1"/>
  <c r="B591" i="1"/>
  <c r="J3757" i="121" l="1"/>
  <c r="P3756" i="121"/>
  <c r="P3755" i="121"/>
  <c r="I3756" i="121"/>
  <c r="I3755" i="121"/>
  <c r="G588" i="1"/>
  <c r="B589" i="1" s="1"/>
  <c r="G589" i="1" s="1"/>
  <c r="B590" i="1" s="1"/>
  <c r="G590" i="1" s="1"/>
  <c r="B588" i="1"/>
  <c r="J3752" i="121"/>
  <c r="P3751" i="121"/>
  <c r="P3747" i="121"/>
  <c r="P3746" i="121"/>
  <c r="P3742" i="121"/>
  <c r="P3737" i="121"/>
  <c r="P3738" i="121"/>
  <c r="P3736" i="121"/>
  <c r="I3751" i="121"/>
  <c r="G587" i="1" l="1"/>
  <c r="B587" i="1"/>
  <c r="I3747" i="121" l="1"/>
  <c r="I3746" i="121"/>
  <c r="J3748" i="121"/>
  <c r="G586" i="1"/>
  <c r="B586" i="1"/>
  <c r="J3743" i="121"/>
  <c r="I3742" i="121"/>
  <c r="G585" i="1"/>
  <c r="B585" i="1"/>
  <c r="G584" i="1" l="1"/>
  <c r="B584" i="1"/>
  <c r="J3739" i="121" l="1"/>
  <c r="I3737" i="121"/>
  <c r="I3736" i="121"/>
  <c r="I3738" i="121"/>
  <c r="G583" i="1"/>
  <c r="B583" i="1"/>
  <c r="G582" i="1"/>
  <c r="B582" i="1"/>
  <c r="G581" i="1"/>
  <c r="B581" i="1"/>
  <c r="J3733" i="121" l="1"/>
  <c r="P3728" i="121"/>
  <c r="P3729" i="121"/>
  <c r="P3730" i="121"/>
  <c r="P3731" i="121"/>
  <c r="P3732" i="121"/>
  <c r="I3728" i="121"/>
  <c r="I3729" i="121"/>
  <c r="I3730" i="121"/>
  <c r="I3731" i="121"/>
  <c r="I3732" i="121"/>
  <c r="P3726" i="121" l="1"/>
  <c r="P3727" i="121"/>
  <c r="I3726" i="121"/>
  <c r="I3727" i="121"/>
  <c r="G580" i="1"/>
  <c r="B580" i="1"/>
  <c r="J3723" i="121" l="1"/>
  <c r="P3717" i="121"/>
  <c r="P3718" i="121"/>
  <c r="P3719" i="121"/>
  <c r="P3720" i="121"/>
  <c r="P3721" i="121"/>
  <c r="P3722" i="121"/>
  <c r="P3716" i="121"/>
  <c r="I3717" i="121"/>
  <c r="I3718" i="121"/>
  <c r="I3719" i="121"/>
  <c r="I3720" i="121"/>
  <c r="I3721" i="121"/>
  <c r="I3722" i="121"/>
  <c r="I3716" i="121"/>
  <c r="G579" i="1" l="1"/>
  <c r="B579" i="1"/>
  <c r="J3713" i="121"/>
  <c r="P3712" i="121"/>
  <c r="I3712" i="121"/>
  <c r="P3704" i="121"/>
  <c r="P3705" i="121"/>
  <c r="P3706" i="121"/>
  <c r="P3707" i="121"/>
  <c r="P3708" i="121"/>
  <c r="P3709" i="121"/>
  <c r="P3710" i="121"/>
  <c r="P3711" i="121"/>
  <c r="I3704" i="121"/>
  <c r="I3705" i="121"/>
  <c r="I3706" i="121"/>
  <c r="I3707" i="121"/>
  <c r="I3708" i="121"/>
  <c r="I3709" i="121"/>
  <c r="I3710" i="121"/>
  <c r="I3711" i="121"/>
  <c r="P3703" i="121"/>
  <c r="I3703" i="121" l="1"/>
  <c r="G578" i="1"/>
  <c r="B578" i="1"/>
  <c r="H44" i="150"/>
  <c r="F44" i="150"/>
  <c r="E44" i="150"/>
  <c r="I66" i="149" l="1"/>
  <c r="J3700" i="121" l="1"/>
  <c r="P3695" i="121"/>
  <c r="P3696" i="121"/>
  <c r="P3697" i="121"/>
  <c r="P3698" i="121"/>
  <c r="P3699" i="121"/>
  <c r="I3695" i="121"/>
  <c r="I3696" i="121"/>
  <c r="I3697" i="121"/>
  <c r="I3698" i="121"/>
  <c r="I3699" i="121"/>
  <c r="P3694" i="121" l="1"/>
  <c r="I3694" i="121"/>
  <c r="P3693" i="121"/>
  <c r="I3693" i="121" l="1"/>
  <c r="G577" i="1"/>
  <c r="B577" i="1"/>
  <c r="B114" i="149" l="1"/>
  <c r="J3690" i="121"/>
  <c r="P3688" i="121"/>
  <c r="P3689" i="121"/>
  <c r="I3688" i="121"/>
  <c r="I3689" i="121"/>
  <c r="P3687" i="121"/>
  <c r="I3687" i="121" l="1"/>
  <c r="G576" i="1"/>
  <c r="G575" i="1"/>
  <c r="B576" i="1" s="1"/>
  <c r="G574" i="1"/>
  <c r="B574" i="1"/>
  <c r="B575" i="1"/>
  <c r="J3684" i="121" l="1"/>
  <c r="P3678" i="121"/>
  <c r="P3679" i="121"/>
  <c r="P3680" i="121"/>
  <c r="P3681" i="121"/>
  <c r="P3682" i="121"/>
  <c r="P3683" i="121"/>
  <c r="P3677" i="121"/>
  <c r="P3669" i="121"/>
  <c r="P3670" i="121"/>
  <c r="P3671" i="121"/>
  <c r="P3672" i="121"/>
  <c r="P3673" i="121"/>
  <c r="P3668" i="121"/>
  <c r="P3663" i="121"/>
  <c r="P3664" i="121"/>
  <c r="P3662" i="121"/>
  <c r="P3654" i="121"/>
  <c r="P3655" i="121"/>
  <c r="P3656" i="121"/>
  <c r="P3657" i="121"/>
  <c r="P3658" i="121"/>
  <c r="P3653" i="121"/>
  <c r="P3649" i="121"/>
  <c r="P3639" i="121"/>
  <c r="P3640" i="121"/>
  <c r="P3641" i="121"/>
  <c r="P3642" i="121"/>
  <c r="P3643" i="121"/>
  <c r="P3644" i="121"/>
  <c r="P3645" i="121"/>
  <c r="P3638" i="121"/>
  <c r="I3678" i="121"/>
  <c r="I3679" i="121"/>
  <c r="I3680" i="121"/>
  <c r="I3681" i="121"/>
  <c r="I3682" i="121"/>
  <c r="I3683" i="121"/>
  <c r="I3677" i="121"/>
  <c r="G573" i="1"/>
  <c r="B573" i="1"/>
  <c r="I3673" i="121" l="1"/>
  <c r="I3672" i="121"/>
  <c r="I3671" i="121"/>
  <c r="I3670" i="121"/>
  <c r="I3669" i="121"/>
  <c r="I3668" i="121"/>
  <c r="J3674" i="121"/>
  <c r="G572" i="1"/>
  <c r="B572" i="1"/>
  <c r="I3664" i="121" l="1"/>
  <c r="I3663" i="121"/>
  <c r="I3662" i="121"/>
  <c r="J3665" i="121"/>
  <c r="G571" i="1"/>
  <c r="B571" i="1"/>
  <c r="I3658" i="121" l="1"/>
  <c r="I3657" i="121"/>
  <c r="I3656" i="121"/>
  <c r="I3655" i="121"/>
  <c r="I3654" i="121"/>
  <c r="I3653" i="121"/>
  <c r="J3659" i="121"/>
  <c r="G570" i="1"/>
  <c r="B570" i="1"/>
  <c r="I3649" i="121"/>
  <c r="J3650" i="121"/>
  <c r="G569" i="1"/>
  <c r="B569" i="1"/>
  <c r="G568" i="1"/>
  <c r="B568" i="1"/>
  <c r="G567" i="1"/>
  <c r="B567" i="1"/>
  <c r="J3646" i="121"/>
  <c r="I3642" i="121"/>
  <c r="I3643" i="121"/>
  <c r="I3644" i="121"/>
  <c r="I3645" i="121"/>
  <c r="I3641" i="121"/>
  <c r="I3639" i="121"/>
  <c r="I3640" i="121"/>
  <c r="I3638" i="121" l="1"/>
  <c r="G566" i="1"/>
  <c r="B566" i="1"/>
  <c r="J3635" i="121" l="1"/>
  <c r="P3634" i="121"/>
  <c r="P3633" i="121"/>
  <c r="I3634" i="121"/>
  <c r="I3633" i="121"/>
  <c r="G565" i="1"/>
  <c r="B565" i="1"/>
  <c r="J3630" i="121" l="1"/>
  <c r="P3626" i="121"/>
  <c r="P3627" i="121"/>
  <c r="P3628" i="121"/>
  <c r="P3629" i="121"/>
  <c r="P3625" i="121"/>
  <c r="I3626" i="121"/>
  <c r="I3627" i="121"/>
  <c r="I3628" i="121"/>
  <c r="I3629" i="121"/>
  <c r="I3625" i="121"/>
  <c r="G564" i="1"/>
  <c r="B564" i="1"/>
  <c r="J3622" i="121" l="1"/>
  <c r="P3612" i="121"/>
  <c r="P3613" i="121"/>
  <c r="P3614" i="121"/>
  <c r="P3615" i="121"/>
  <c r="P3616" i="121"/>
  <c r="P3617" i="121"/>
  <c r="P3618" i="121"/>
  <c r="P3619" i="121"/>
  <c r="P3620" i="121"/>
  <c r="P3621" i="121"/>
  <c r="P3611" i="121"/>
  <c r="I3612" i="121"/>
  <c r="I3613" i="121"/>
  <c r="I3614" i="121"/>
  <c r="I3615" i="121"/>
  <c r="I3616" i="121"/>
  <c r="I3617" i="121"/>
  <c r="I3618" i="121"/>
  <c r="I3619" i="121"/>
  <c r="I3620" i="121"/>
  <c r="I3621" i="121"/>
  <c r="I3611" i="121"/>
  <c r="G563" i="1"/>
  <c r="B563" i="1"/>
  <c r="J3608" i="121"/>
  <c r="P3607" i="121"/>
  <c r="I3607" i="121"/>
  <c r="P3606" i="121"/>
  <c r="I3606" i="121"/>
  <c r="G559" i="1" l="1"/>
  <c r="B560" i="1" s="1"/>
  <c r="G560" i="1" s="1"/>
  <c r="B561" i="1" s="1"/>
  <c r="G561" i="1" s="1"/>
  <c r="B562" i="1" s="1"/>
  <c r="G562" i="1" s="1"/>
  <c r="B559" i="1"/>
  <c r="I3598" i="121"/>
  <c r="I3597" i="121"/>
  <c r="I3602" i="121" l="1"/>
  <c r="I3601" i="121"/>
  <c r="I3600" i="121"/>
  <c r="I3599" i="121"/>
  <c r="J3603" i="121"/>
  <c r="G558" i="1"/>
  <c r="B558" i="1"/>
  <c r="I3593" i="121" l="1"/>
  <c r="I3592" i="121"/>
  <c r="J3594" i="121"/>
  <c r="G557" i="1"/>
  <c r="B557" i="1"/>
  <c r="P3588" i="121" l="1"/>
  <c r="J3589" i="121" l="1"/>
  <c r="I3588" i="121"/>
  <c r="I3587" i="121"/>
  <c r="I3586" i="121"/>
  <c r="G556" i="1"/>
  <c r="B556" i="1"/>
  <c r="J3583" i="121" l="1"/>
  <c r="I3581" i="121"/>
  <c r="I3582" i="121"/>
  <c r="I3580" i="121"/>
  <c r="G555" i="1"/>
  <c r="B555" i="1"/>
  <c r="G554" i="1"/>
  <c r="B554" i="1"/>
  <c r="G553" i="1"/>
  <c r="B553" i="1"/>
  <c r="J3577" i="121" l="1"/>
  <c r="I3576" i="121" l="1"/>
  <c r="I3575" i="121"/>
  <c r="I3574" i="121"/>
  <c r="I3573" i="121"/>
  <c r="I3572" i="121"/>
  <c r="I3571" i="121"/>
  <c r="I3570" i="121"/>
  <c r="G552" i="1"/>
  <c r="B552" i="1"/>
  <c r="J3567" i="121"/>
  <c r="P3563" i="121"/>
  <c r="P3564" i="121"/>
  <c r="P3565" i="121"/>
  <c r="P3566" i="121"/>
  <c r="P3562" i="121"/>
  <c r="I3563" i="121"/>
  <c r="I3564" i="121"/>
  <c r="I3565" i="121"/>
  <c r="I3566" i="121"/>
  <c r="I3562" i="121"/>
  <c r="G551" i="1" l="1"/>
  <c r="B551" i="1"/>
  <c r="J3559" i="121" l="1"/>
  <c r="P3552" i="121"/>
  <c r="P3553" i="121"/>
  <c r="P3554" i="121"/>
  <c r="P3555" i="121"/>
  <c r="P3556" i="121"/>
  <c r="P3557" i="121"/>
  <c r="P3558" i="121"/>
  <c r="P3551" i="121"/>
  <c r="I3552" i="121"/>
  <c r="I3553" i="121"/>
  <c r="I3554" i="121"/>
  <c r="I3555" i="121"/>
  <c r="I3556" i="121"/>
  <c r="I3557" i="121"/>
  <c r="I3558" i="121"/>
  <c r="I3551" i="121"/>
  <c r="G550" i="1" l="1"/>
  <c r="B550" i="1"/>
  <c r="J3548" i="121" l="1"/>
  <c r="P3543" i="121"/>
  <c r="P3544" i="121"/>
  <c r="P3545" i="121"/>
  <c r="P3546" i="121"/>
  <c r="P3547" i="121"/>
  <c r="P3542" i="121"/>
  <c r="I3543" i="121"/>
  <c r="I3544" i="121"/>
  <c r="I3545" i="121"/>
  <c r="I3546" i="121"/>
  <c r="I3547" i="121"/>
  <c r="I3542" i="121"/>
  <c r="G549" i="1"/>
  <c r="B549" i="1"/>
  <c r="J3539" i="121" l="1"/>
  <c r="P3537" i="121"/>
  <c r="P3538" i="121"/>
  <c r="P3536" i="121"/>
  <c r="I3537" i="121"/>
  <c r="I3538" i="121"/>
  <c r="I3536" i="121"/>
  <c r="G546" i="1"/>
  <c r="B547" i="1" s="1"/>
  <c r="G547" i="1" s="1"/>
  <c r="B548" i="1" s="1"/>
  <c r="G548" i="1" s="1"/>
  <c r="B546" i="1"/>
  <c r="J3533" i="121" l="1"/>
  <c r="P3525" i="121"/>
  <c r="P3526" i="121"/>
  <c r="P3527" i="121"/>
  <c r="P3524" i="121"/>
  <c r="P3516" i="121"/>
  <c r="P3517" i="121"/>
  <c r="P3518" i="121"/>
  <c r="P3519" i="121"/>
  <c r="P3520" i="121"/>
  <c r="P3515" i="121"/>
  <c r="P3504" i="121"/>
  <c r="P3505" i="121"/>
  <c r="P3506" i="121"/>
  <c r="P3507" i="121"/>
  <c r="P3508" i="121"/>
  <c r="P3509" i="121"/>
  <c r="P3510" i="121"/>
  <c r="P3511" i="121"/>
  <c r="P3503" i="121"/>
  <c r="P3532" i="121"/>
  <c r="P3531" i="121"/>
  <c r="I3532" i="121"/>
  <c r="I3531" i="121"/>
  <c r="G545" i="1" l="1"/>
  <c r="B545" i="1"/>
  <c r="I3527" i="121" l="1"/>
  <c r="I3526" i="121"/>
  <c r="I3525" i="121"/>
  <c r="I3524" i="121"/>
  <c r="J3528" i="121"/>
  <c r="G544" i="1"/>
  <c r="B544" i="1"/>
  <c r="I3519" i="121" l="1"/>
  <c r="I3520" i="121"/>
  <c r="I3518" i="121"/>
  <c r="I3517" i="121"/>
  <c r="I3516" i="121"/>
  <c r="I3515" i="121"/>
  <c r="J3521" i="121"/>
  <c r="G543" i="1"/>
  <c r="B543" i="1"/>
  <c r="I3511" i="121" l="1"/>
  <c r="I3509" i="121"/>
  <c r="I3510" i="121"/>
  <c r="I3508" i="121"/>
  <c r="I3507" i="121"/>
  <c r="I3506" i="121"/>
  <c r="I3505" i="121"/>
  <c r="I3504" i="121"/>
  <c r="I3503" i="121"/>
  <c r="J3512" i="121"/>
  <c r="P3499" i="121"/>
  <c r="P3498" i="121"/>
  <c r="I3498" i="121" l="1"/>
  <c r="J3500" i="121"/>
  <c r="J3495" i="121"/>
  <c r="P3494" i="121"/>
  <c r="I3494" i="121"/>
  <c r="P3492" i="121"/>
  <c r="P3493" i="121"/>
  <c r="I3492" i="121" l="1"/>
  <c r="I3493" i="121"/>
  <c r="P3488" i="121" l="1"/>
  <c r="P3487" i="121"/>
  <c r="I3488" i="121"/>
  <c r="I3487" i="121"/>
  <c r="J3489" i="121"/>
  <c r="J3484" i="121" l="1"/>
  <c r="P3474" i="121"/>
  <c r="P3475" i="121"/>
  <c r="P3476" i="121"/>
  <c r="P3477" i="121"/>
  <c r="P3478" i="121"/>
  <c r="P3479" i="121"/>
  <c r="P3480" i="121"/>
  <c r="P3481" i="121"/>
  <c r="P3482" i="121"/>
  <c r="P3483" i="121"/>
  <c r="P3473" i="121"/>
  <c r="I3474" i="121"/>
  <c r="I3475" i="121"/>
  <c r="I3476" i="121"/>
  <c r="I3477" i="121"/>
  <c r="I3478" i="121"/>
  <c r="I3479" i="121"/>
  <c r="I3480" i="121"/>
  <c r="I3481" i="121"/>
  <c r="I3482" i="121"/>
  <c r="I3483" i="121"/>
  <c r="I3473" i="121"/>
  <c r="J3470" i="121" l="1"/>
  <c r="P3464" i="121"/>
  <c r="P3465" i="121"/>
  <c r="P3466" i="121"/>
  <c r="P3467" i="121"/>
  <c r="P3468" i="121"/>
  <c r="P3469" i="121"/>
  <c r="P3463" i="121"/>
  <c r="I3464" i="121"/>
  <c r="I3465" i="121"/>
  <c r="I3466" i="121"/>
  <c r="I3467" i="121"/>
  <c r="I3468" i="121"/>
  <c r="I3469" i="121"/>
  <c r="I3463" i="121"/>
  <c r="J3460" i="121" l="1"/>
  <c r="P3453" i="121"/>
  <c r="P3454" i="121"/>
  <c r="P3455" i="121"/>
  <c r="P3456" i="121"/>
  <c r="P3457" i="121"/>
  <c r="P3458" i="121"/>
  <c r="P3459" i="121"/>
  <c r="P3452" i="121"/>
  <c r="P3446" i="121"/>
  <c r="P3447" i="121"/>
  <c r="P3448" i="121"/>
  <c r="P3445" i="121"/>
  <c r="P3438" i="121"/>
  <c r="P3439" i="121"/>
  <c r="P3440" i="121"/>
  <c r="P3441" i="121"/>
  <c r="P3437" i="121"/>
  <c r="P3429" i="121"/>
  <c r="P3430" i="121"/>
  <c r="P3431" i="121"/>
  <c r="P3432" i="121"/>
  <c r="P3433" i="121"/>
  <c r="P3428" i="121"/>
  <c r="P3423" i="121"/>
  <c r="P3424" i="121"/>
  <c r="P3422" i="121"/>
  <c r="I3453" i="121"/>
  <c r="I3454" i="121"/>
  <c r="I3455" i="121"/>
  <c r="I3456" i="121"/>
  <c r="I3457" i="121"/>
  <c r="I3458" i="121"/>
  <c r="I3459" i="121"/>
  <c r="I3452" i="121"/>
  <c r="I3448" i="121" l="1"/>
  <c r="I3447" i="121"/>
  <c r="I3446" i="121"/>
  <c r="I3445" i="121"/>
  <c r="J3449" i="121"/>
  <c r="J3442" i="121" l="1"/>
  <c r="I3439" i="121" l="1"/>
  <c r="I3440" i="121"/>
  <c r="I3441" i="121"/>
  <c r="I3437" i="121" l="1"/>
  <c r="I3438" i="121"/>
  <c r="B71" i="149" l="1"/>
  <c r="J3434" i="121" l="1"/>
  <c r="I3430" i="121"/>
  <c r="I3431" i="121"/>
  <c r="I3432" i="121"/>
  <c r="I3433" i="121"/>
  <c r="I3428" i="121" l="1"/>
  <c r="I3429" i="121"/>
  <c r="J3425" i="121" l="1"/>
  <c r="I3423" i="121"/>
  <c r="I3424" i="121"/>
  <c r="I3422" i="121"/>
  <c r="J3419" i="121" l="1"/>
  <c r="P3414" i="121"/>
  <c r="P3415" i="121"/>
  <c r="P3416" i="121"/>
  <c r="P3417" i="121"/>
  <c r="P3418" i="121"/>
  <c r="P3413" i="121"/>
  <c r="I3414" i="121"/>
  <c r="I3415" i="121"/>
  <c r="I3416" i="121"/>
  <c r="I3417" i="121"/>
  <c r="I3418" i="121"/>
  <c r="I3413" i="121"/>
  <c r="J3410" i="121" l="1"/>
  <c r="P3401" i="121"/>
  <c r="P3402" i="121"/>
  <c r="P3403" i="121"/>
  <c r="P3404" i="121"/>
  <c r="P3405" i="121"/>
  <c r="P3406" i="121"/>
  <c r="P3407" i="121"/>
  <c r="P3408" i="121"/>
  <c r="P3409" i="121"/>
  <c r="P3400" i="121"/>
  <c r="I3401" i="121"/>
  <c r="I3402" i="121"/>
  <c r="I3403" i="121"/>
  <c r="I3404" i="121"/>
  <c r="I3405" i="121"/>
  <c r="I3406" i="121"/>
  <c r="I3407" i="121"/>
  <c r="I3408" i="121"/>
  <c r="I3409" i="121"/>
  <c r="I3400" i="121"/>
  <c r="J3397" i="121" l="1"/>
  <c r="P3395" i="121"/>
  <c r="P3396" i="121"/>
  <c r="P3394" i="121"/>
  <c r="I3395" i="121"/>
  <c r="I3396" i="121"/>
  <c r="I3394" i="121"/>
  <c r="J3391" i="121" l="1"/>
  <c r="P3389" i="121"/>
  <c r="P3390" i="121"/>
  <c r="P3388" i="121"/>
  <c r="P3373" i="121"/>
  <c r="P3374" i="121"/>
  <c r="P3375" i="121"/>
  <c r="P3376" i="121"/>
  <c r="P3377" i="121"/>
  <c r="P3378" i="121"/>
  <c r="P3379" i="121"/>
  <c r="P3380" i="121"/>
  <c r="P3381" i="121"/>
  <c r="P3382" i="121"/>
  <c r="P3383" i="121"/>
  <c r="P3384" i="121"/>
  <c r="P3372" i="121"/>
  <c r="P3353" i="121"/>
  <c r="P3354" i="121"/>
  <c r="P3355" i="121"/>
  <c r="P3356" i="121"/>
  <c r="P3357" i="121"/>
  <c r="P3358" i="121"/>
  <c r="P3359" i="121"/>
  <c r="P3360" i="121"/>
  <c r="P3361" i="121"/>
  <c r="P3362" i="121"/>
  <c r="P3363" i="121"/>
  <c r="P3364" i="121"/>
  <c r="P3365" i="121"/>
  <c r="P3366" i="121"/>
  <c r="P3367" i="121"/>
  <c r="P3368" i="121"/>
  <c r="P3352" i="121"/>
  <c r="P3347" i="121"/>
  <c r="P3348" i="121"/>
  <c r="P3346" i="121"/>
  <c r="P3342" i="121"/>
  <c r="P3341" i="121"/>
  <c r="I3389" i="121"/>
  <c r="I3390" i="121"/>
  <c r="I3388" i="121"/>
  <c r="I3384" i="121" l="1"/>
  <c r="I3383" i="121"/>
  <c r="I3382" i="121"/>
  <c r="I3381" i="121"/>
  <c r="I3380" i="121"/>
  <c r="I3379" i="121"/>
  <c r="I3378" i="121"/>
  <c r="I3377" i="121"/>
  <c r="I3376" i="121"/>
  <c r="I3375" i="121"/>
  <c r="I3374" i="121"/>
  <c r="I3373" i="121"/>
  <c r="I3372" i="121"/>
  <c r="J3385" i="121"/>
  <c r="I3368" i="121" l="1"/>
  <c r="I3367" i="121"/>
  <c r="I3365" i="121"/>
  <c r="I3366" i="121"/>
  <c r="I3364" i="121"/>
  <c r="I3363" i="121"/>
  <c r="I3362" i="121"/>
  <c r="I3361" i="121"/>
  <c r="I3360" i="121"/>
  <c r="I3359" i="121"/>
  <c r="I3358" i="121"/>
  <c r="I3357" i="121"/>
  <c r="I3356" i="121"/>
  <c r="I3355" i="121"/>
  <c r="I3354" i="121" l="1"/>
  <c r="I3353" i="121"/>
  <c r="I3352" i="121"/>
  <c r="J3369" i="121"/>
  <c r="I3348" i="121" l="1"/>
  <c r="I3347" i="121"/>
  <c r="I3346" i="121"/>
  <c r="J3349" i="121"/>
  <c r="I3342" i="121" l="1"/>
  <c r="I3341" i="121"/>
  <c r="J3343" i="121"/>
  <c r="J3338" i="121" l="1"/>
  <c r="P3337" i="121" l="1"/>
  <c r="I3337" i="121"/>
  <c r="P3336" i="121"/>
  <c r="I3336" i="121"/>
  <c r="P3333" i="121" l="1"/>
  <c r="P3334" i="121"/>
  <c r="P3335" i="121"/>
  <c r="I3333" i="121" l="1"/>
  <c r="I3334" i="121"/>
  <c r="I3335" i="121"/>
  <c r="J3330" i="121" l="1"/>
  <c r="P3327" i="121"/>
  <c r="P3328" i="121"/>
  <c r="P3329" i="121"/>
  <c r="P3326" i="121"/>
  <c r="I3327" i="121"/>
  <c r="I3328" i="121"/>
  <c r="I3329" i="121"/>
  <c r="I3326" i="121"/>
  <c r="J3323" i="121" l="1"/>
  <c r="P3320" i="121"/>
  <c r="P3321" i="121"/>
  <c r="P3322" i="121"/>
  <c r="P3319" i="121"/>
  <c r="I3320" i="121"/>
  <c r="I3321" i="121"/>
  <c r="I3322" i="121"/>
  <c r="I3319" i="121"/>
  <c r="P3301" i="121" l="1"/>
  <c r="P3302" i="121"/>
  <c r="P3303" i="121"/>
  <c r="P3304" i="121"/>
  <c r="P3305" i="121"/>
  <c r="P3306" i="121"/>
  <c r="P3307" i="121"/>
  <c r="P3308" i="121"/>
  <c r="P3309" i="121"/>
  <c r="P3310" i="121"/>
  <c r="P3311" i="121"/>
  <c r="P3312" i="121"/>
  <c r="P3313" i="121"/>
  <c r="P3314" i="121"/>
  <c r="P3315" i="121"/>
  <c r="P3300" i="121"/>
  <c r="J3316" i="121" l="1"/>
  <c r="I3301" i="121"/>
  <c r="I3302" i="121"/>
  <c r="I3303" i="121"/>
  <c r="I3304" i="121"/>
  <c r="I3305" i="121"/>
  <c r="I3306" i="121"/>
  <c r="I3307" i="121"/>
  <c r="I3308" i="121"/>
  <c r="I3309" i="121"/>
  <c r="I3310" i="121"/>
  <c r="I3311" i="121"/>
  <c r="I3312" i="121"/>
  <c r="I3313" i="121"/>
  <c r="I3314" i="121"/>
  <c r="I3315" i="121"/>
  <c r="I3300" i="121"/>
  <c r="P3292" i="121" l="1"/>
  <c r="P3293" i="121"/>
  <c r="P3294" i="121"/>
  <c r="P3295" i="121"/>
  <c r="P3296" i="121"/>
  <c r="P3291" i="121"/>
  <c r="I3296" i="121" l="1"/>
  <c r="I3295" i="121"/>
  <c r="I3294" i="121"/>
  <c r="I3293" i="121"/>
  <c r="I3292" i="121"/>
  <c r="I3291" i="121"/>
  <c r="J3297" i="121"/>
  <c r="P3286" i="121"/>
  <c r="P3287" i="121"/>
  <c r="P3285" i="121"/>
  <c r="P3281" i="121"/>
  <c r="P3277" i="121"/>
  <c r="P3276" i="121"/>
  <c r="I3287" i="121" l="1"/>
  <c r="I3286" i="121"/>
  <c r="I3285" i="121"/>
  <c r="J3288" i="121"/>
  <c r="I3281" i="121"/>
  <c r="J3282" i="121" l="1"/>
  <c r="I3277" i="121"/>
  <c r="I3276" i="121"/>
  <c r="J3278" i="121"/>
  <c r="C64" i="150" l="1"/>
  <c r="J3273" i="121"/>
  <c r="P3270" i="121"/>
  <c r="P3271" i="121"/>
  <c r="P3272" i="121"/>
  <c r="I3270" i="121"/>
  <c r="I3271" i="121"/>
  <c r="I3272" i="121"/>
  <c r="P3269" i="121"/>
  <c r="I3269" i="121"/>
  <c r="P3267" i="121"/>
  <c r="P3268" i="121"/>
  <c r="I3267" i="121" l="1"/>
  <c r="I3268" i="121"/>
  <c r="J3264" i="121" l="1"/>
  <c r="P3260" i="121"/>
  <c r="P3261" i="121"/>
  <c r="P3262" i="121"/>
  <c r="P3263" i="121"/>
  <c r="P3259" i="121"/>
  <c r="I3260" i="121"/>
  <c r="I3261" i="121"/>
  <c r="I3262" i="121"/>
  <c r="I3263" i="121"/>
  <c r="I3259" i="121"/>
  <c r="J3256" i="121" l="1"/>
  <c r="P3255" i="121"/>
  <c r="I3255" i="121"/>
  <c r="J3252" i="121" l="1"/>
  <c r="P3250" i="121"/>
  <c r="P3251" i="121"/>
  <c r="P3249" i="121"/>
  <c r="I3250" i="121"/>
  <c r="I3251" i="121"/>
  <c r="I3249" i="121"/>
  <c r="I3242" i="121" l="1"/>
  <c r="I3243" i="121"/>
  <c r="I3244" i="121"/>
  <c r="I3245" i="121"/>
  <c r="J3246" i="121" l="1"/>
  <c r="P3242" i="121"/>
  <c r="P3243" i="121"/>
  <c r="P3244" i="121"/>
  <c r="P3245" i="121"/>
  <c r="P3241" i="121"/>
  <c r="P3230" i="121"/>
  <c r="P3231" i="121"/>
  <c r="P3232" i="121"/>
  <c r="P3233" i="121"/>
  <c r="P3234" i="121"/>
  <c r="P3235" i="121"/>
  <c r="P3236" i="121"/>
  <c r="P3237" i="121"/>
  <c r="P3229" i="121"/>
  <c r="P3216" i="121"/>
  <c r="P3217" i="121"/>
  <c r="P3218" i="121"/>
  <c r="P3219" i="121"/>
  <c r="P3220" i="121"/>
  <c r="P3221" i="121"/>
  <c r="P3222" i="121"/>
  <c r="P3223" i="121"/>
  <c r="P3224" i="121"/>
  <c r="P3225" i="121"/>
  <c r="P3215" i="121"/>
  <c r="P3210" i="121"/>
  <c r="P3211" i="121"/>
  <c r="P3209" i="121"/>
  <c r="I3241" i="121"/>
  <c r="I3233" i="121" l="1"/>
  <c r="I3237" i="121"/>
  <c r="I3236" i="121"/>
  <c r="I3235" i="121"/>
  <c r="I3234" i="121"/>
  <c r="I3232" i="121"/>
  <c r="I3231" i="121"/>
  <c r="I3230" i="121"/>
  <c r="I3229" i="121"/>
  <c r="J3238" i="121"/>
  <c r="J3226" i="121" l="1"/>
  <c r="I3223" i="121"/>
  <c r="I3225" i="121"/>
  <c r="I3224" i="121"/>
  <c r="I3222" i="121"/>
  <c r="I3221" i="121"/>
  <c r="I3220" i="121"/>
  <c r="I3219" i="121"/>
  <c r="I3218" i="121"/>
  <c r="I3217" i="121"/>
  <c r="I3216" i="121"/>
  <c r="I3215" i="121"/>
  <c r="I3211" i="121" l="1"/>
  <c r="I3210" i="121"/>
  <c r="I3209" i="121"/>
  <c r="J3212" i="121"/>
  <c r="J3206" i="121" l="1"/>
  <c r="P3194" i="121"/>
  <c r="P3195" i="121"/>
  <c r="P3196" i="121"/>
  <c r="P3197" i="121"/>
  <c r="P3198" i="121"/>
  <c r="P3199" i="121"/>
  <c r="P3200" i="121"/>
  <c r="P3201" i="121"/>
  <c r="P3202" i="121"/>
  <c r="P3203" i="121"/>
  <c r="P3204" i="121"/>
  <c r="P3205" i="121"/>
  <c r="P3193" i="121"/>
  <c r="I3194" i="121"/>
  <c r="I3195" i="121"/>
  <c r="I3196" i="121"/>
  <c r="I3197" i="121"/>
  <c r="I3198" i="121"/>
  <c r="I3199" i="121"/>
  <c r="I3200" i="121"/>
  <c r="I3201" i="121"/>
  <c r="I3202" i="121"/>
  <c r="I3203" i="121"/>
  <c r="I3204" i="121"/>
  <c r="I3205" i="121"/>
  <c r="I3193" i="121"/>
  <c r="J3190" i="121" l="1"/>
  <c r="P3189" i="121"/>
  <c r="P3184" i="121"/>
  <c r="P3185" i="121"/>
  <c r="P3183" i="121"/>
  <c r="I3189" i="121"/>
  <c r="J3186" i="121"/>
  <c r="I3185" i="121" l="1"/>
  <c r="I3184" i="121"/>
  <c r="I3183" i="121"/>
  <c r="J3180" i="121" l="1"/>
  <c r="P3178" i="121"/>
  <c r="P3179" i="121"/>
  <c r="P3177" i="121"/>
  <c r="P3173" i="121"/>
  <c r="P3167" i="121"/>
  <c r="P3168" i="121"/>
  <c r="P3169" i="121"/>
  <c r="P3166" i="121"/>
  <c r="I3178" i="121"/>
  <c r="I3179" i="121"/>
  <c r="I3177" i="121"/>
  <c r="J3174" i="121" l="1"/>
  <c r="I3173" i="121"/>
  <c r="I3168" i="121" l="1"/>
  <c r="I3167" i="121"/>
  <c r="I3166" i="121"/>
  <c r="I3169" i="121"/>
  <c r="J3170" i="121"/>
  <c r="J3163" i="121" l="1"/>
  <c r="P3160" i="121"/>
  <c r="P3161" i="121"/>
  <c r="P3162" i="121"/>
  <c r="I3160" i="121"/>
  <c r="I3161" i="121"/>
  <c r="I3162" i="121"/>
  <c r="P3157" i="121"/>
  <c r="P3158" i="121"/>
  <c r="P3159" i="121"/>
  <c r="I3157" i="121" l="1"/>
  <c r="I3158" i="121"/>
  <c r="I3159" i="121"/>
  <c r="P3156" i="121"/>
  <c r="I3156" i="121" l="1"/>
  <c r="P3152" i="121" l="1"/>
  <c r="P3151" i="121"/>
  <c r="J3153" i="121" l="1"/>
  <c r="I3151" i="121"/>
  <c r="I3152" i="121"/>
  <c r="J3148" i="121"/>
  <c r="P3147" i="121"/>
  <c r="P3146" i="121"/>
  <c r="I3147" i="121"/>
  <c r="I3146" i="121"/>
  <c r="J3143" i="121" l="1"/>
  <c r="P3142" i="121"/>
  <c r="P3141" i="121"/>
  <c r="I3142" i="121"/>
  <c r="I3141" i="121"/>
  <c r="J3138" i="121" l="1"/>
  <c r="P3130" i="121"/>
  <c r="P3131" i="121"/>
  <c r="P3132" i="121"/>
  <c r="P3133" i="121"/>
  <c r="P3134" i="121"/>
  <c r="P3135" i="121"/>
  <c r="P3136" i="121"/>
  <c r="P3137" i="121"/>
  <c r="P3129" i="121"/>
  <c r="I3130" i="121"/>
  <c r="I3131" i="121"/>
  <c r="I3132" i="121"/>
  <c r="I3133" i="121"/>
  <c r="I3134" i="121"/>
  <c r="I3135" i="121"/>
  <c r="I3136" i="121"/>
  <c r="I3137" i="121"/>
  <c r="I3129" i="121"/>
  <c r="P3125" i="121"/>
  <c r="J3126" i="121" l="1"/>
  <c r="I3125" i="121"/>
  <c r="J3122" i="121" l="1"/>
  <c r="P3121" i="121"/>
  <c r="P3120" i="121"/>
  <c r="I3121" i="121"/>
  <c r="I3120" i="121"/>
  <c r="J3117" i="121" l="1"/>
  <c r="P3113" i="121"/>
  <c r="P3114" i="121"/>
  <c r="P3115" i="121"/>
  <c r="P3116" i="121"/>
  <c r="P3112" i="121"/>
  <c r="I3113" i="121"/>
  <c r="I3114" i="121"/>
  <c r="I3115" i="121"/>
  <c r="I3116" i="121"/>
  <c r="I3112" i="121"/>
  <c r="J3109" i="121"/>
  <c r="P3107" i="121"/>
  <c r="P3108" i="121"/>
  <c r="P3106" i="121"/>
  <c r="I3107" i="121"/>
  <c r="I3108" i="121"/>
  <c r="I3106" i="121"/>
  <c r="J3103" i="121" l="1"/>
  <c r="P3091" i="121"/>
  <c r="P3092" i="121"/>
  <c r="P3093" i="121"/>
  <c r="P3094" i="121"/>
  <c r="P3095" i="121"/>
  <c r="P3096" i="121"/>
  <c r="P3097" i="121"/>
  <c r="P3098" i="121"/>
  <c r="P3099" i="121"/>
  <c r="P3100" i="121"/>
  <c r="P3101" i="121"/>
  <c r="P3102" i="121"/>
  <c r="P3090" i="121"/>
  <c r="I3091" i="121"/>
  <c r="I3092" i="121"/>
  <c r="I3093" i="121"/>
  <c r="I3094" i="121"/>
  <c r="I3095" i="121"/>
  <c r="I3096" i="121"/>
  <c r="I3097" i="121"/>
  <c r="I3098" i="121"/>
  <c r="I3099" i="121"/>
  <c r="I3100" i="121"/>
  <c r="I3101" i="121"/>
  <c r="I3102" i="121"/>
  <c r="I3090" i="121"/>
  <c r="P3083" i="121" l="1"/>
  <c r="P3084" i="121"/>
  <c r="P3085" i="121"/>
  <c r="P3086" i="121"/>
  <c r="J3087" i="121"/>
  <c r="I3083" i="121"/>
  <c r="I3084" i="121"/>
  <c r="I3085" i="121"/>
  <c r="I3086" i="121"/>
  <c r="P3082" i="121" l="1"/>
  <c r="P3075" i="121"/>
  <c r="P3076" i="121"/>
  <c r="P3077" i="121"/>
  <c r="P3078" i="121"/>
  <c r="I3082" i="121"/>
  <c r="F452" i="1" l="1"/>
  <c r="I3076" i="121" l="1"/>
  <c r="I3078" i="121" l="1"/>
  <c r="I3077" i="121"/>
  <c r="I3075" i="121"/>
  <c r="J3079" i="121"/>
  <c r="P3070" i="121"/>
  <c r="I3071" i="121" l="1"/>
  <c r="I3070" i="121"/>
  <c r="I3069" i="121"/>
  <c r="I3068" i="121"/>
  <c r="I3067" i="121"/>
  <c r="J3072" i="121"/>
  <c r="I3063" i="121" l="1"/>
  <c r="I3062" i="121"/>
  <c r="I3059" i="121"/>
  <c r="I3060" i="121"/>
  <c r="I3061" i="121"/>
  <c r="J3064" i="121"/>
  <c r="J3056" i="121" l="1"/>
  <c r="P3055" i="121"/>
  <c r="P3051" i="121"/>
  <c r="P3044" i="121"/>
  <c r="P3045" i="121"/>
  <c r="P3046" i="121"/>
  <c r="P3047" i="121"/>
  <c r="P3043" i="121"/>
  <c r="P3036" i="121"/>
  <c r="P3037" i="121"/>
  <c r="P3038" i="121"/>
  <c r="P3039" i="121"/>
  <c r="P3035" i="121"/>
  <c r="P3031" i="121"/>
  <c r="I3055" i="121"/>
  <c r="I3051" i="121" l="1"/>
  <c r="J3052" i="121" l="1"/>
  <c r="I3043" i="121" l="1"/>
  <c r="I3047" i="121"/>
  <c r="I3046" i="121"/>
  <c r="I3045" i="121"/>
  <c r="I3044" i="121"/>
  <c r="J3048" i="121" l="1"/>
  <c r="J3040" i="121"/>
  <c r="I3039" i="121" l="1"/>
  <c r="I3038" i="121"/>
  <c r="I3036" i="121"/>
  <c r="I3035" i="121"/>
  <c r="I3031" i="121" l="1"/>
  <c r="J3032" i="121"/>
  <c r="J3028" i="121"/>
  <c r="P3026" i="121"/>
  <c r="P3027" i="121"/>
  <c r="P3025" i="121"/>
  <c r="I3025" i="121" l="1"/>
  <c r="I3026" i="121"/>
  <c r="I3027" i="121"/>
  <c r="J3022" i="121" l="1"/>
  <c r="P3019" i="121"/>
  <c r="P3020" i="121"/>
  <c r="P3021" i="121"/>
  <c r="P3018" i="121"/>
  <c r="I3019" i="121"/>
  <c r="I3020" i="121"/>
  <c r="I3021" i="121"/>
  <c r="I3018" i="121"/>
  <c r="J3015" i="121" l="1"/>
  <c r="P3014" i="121"/>
  <c r="I3014" i="121"/>
  <c r="J3011" i="121" l="1"/>
  <c r="P3010" i="121"/>
  <c r="I3010" i="121"/>
  <c r="P3009" i="121"/>
  <c r="I3009" i="121"/>
  <c r="J3006" i="121" l="1"/>
  <c r="P3001" i="121"/>
  <c r="P3002" i="121"/>
  <c r="P3003" i="121"/>
  <c r="P3004" i="121"/>
  <c r="P3005" i="121"/>
  <c r="P3000" i="121"/>
  <c r="P2994" i="121"/>
  <c r="P2995" i="121"/>
  <c r="P2996" i="121"/>
  <c r="P2977" i="121"/>
  <c r="P2978" i="121"/>
  <c r="P2979" i="121"/>
  <c r="P2980" i="121"/>
  <c r="P2981" i="121"/>
  <c r="P2982" i="121"/>
  <c r="P2983" i="121"/>
  <c r="P2984" i="121"/>
  <c r="P2985" i="121"/>
  <c r="P2986" i="121"/>
  <c r="P2987" i="121"/>
  <c r="P2988" i="121"/>
  <c r="P2989" i="121"/>
  <c r="P2993" i="121"/>
  <c r="P2976" i="121"/>
  <c r="P2965" i="121"/>
  <c r="P2966" i="121"/>
  <c r="P2967" i="121"/>
  <c r="P2968" i="121"/>
  <c r="P2969" i="121"/>
  <c r="P2970" i="121"/>
  <c r="P2971" i="121"/>
  <c r="P2972" i="121"/>
  <c r="P2964" i="121"/>
  <c r="I3001" i="121"/>
  <c r="I3002" i="121"/>
  <c r="I3003" i="121"/>
  <c r="I3004" i="121"/>
  <c r="I3005" i="121"/>
  <c r="I3000" i="121"/>
  <c r="I2996" i="121" l="1"/>
  <c r="I2995" i="121"/>
  <c r="I2994" i="121"/>
  <c r="I2993" i="121"/>
  <c r="J2997" i="121" l="1"/>
  <c r="J2990" i="121" l="1"/>
  <c r="I2989" i="121"/>
  <c r="I2988" i="121"/>
  <c r="I2987" i="121"/>
  <c r="I2986" i="121"/>
  <c r="I2985" i="121"/>
  <c r="I2984" i="121"/>
  <c r="I2983" i="121"/>
  <c r="I2982" i="121"/>
  <c r="I2981" i="121"/>
  <c r="I2980" i="121"/>
  <c r="I2979" i="121"/>
  <c r="I2978" i="121"/>
  <c r="I2977" i="121"/>
  <c r="I2976" i="121"/>
  <c r="J2973" i="121" l="1"/>
  <c r="I2971" i="121"/>
  <c r="I2972" i="121"/>
  <c r="I2970" i="121"/>
  <c r="I2969" i="121"/>
  <c r="I2968" i="121"/>
  <c r="I2967" i="121"/>
  <c r="I2966" i="121"/>
  <c r="I2965" i="121"/>
  <c r="I2964" i="121"/>
  <c r="I2960" i="121" l="1"/>
  <c r="I2959" i="121"/>
  <c r="J2961" i="121"/>
  <c r="J2956" i="121" l="1"/>
  <c r="P2954" i="121"/>
  <c r="P2955" i="121"/>
  <c r="I2954" i="121" l="1"/>
  <c r="I2955" i="121"/>
  <c r="P2952" i="121" l="1"/>
  <c r="P2953" i="121"/>
  <c r="I2952" i="121"/>
  <c r="I2953" i="121"/>
  <c r="P2950" i="121" l="1"/>
  <c r="P2951" i="121"/>
  <c r="I2950" i="121" l="1"/>
  <c r="I2951" i="121"/>
  <c r="J2947" i="121"/>
  <c r="P2945" i="121"/>
  <c r="P2946" i="121"/>
  <c r="I2945" i="121"/>
  <c r="I2946" i="121"/>
  <c r="P2944" i="121"/>
  <c r="I2944" i="121" l="1"/>
  <c r="J2941" i="121" l="1"/>
  <c r="P2938" i="121"/>
  <c r="P2939" i="121"/>
  <c r="P2940" i="121"/>
  <c r="I2938" i="121"/>
  <c r="I2939" i="121"/>
  <c r="I2940" i="121"/>
  <c r="P2937" i="121"/>
  <c r="I2937" i="121"/>
  <c r="E423" i="1"/>
  <c r="E422" i="1"/>
  <c r="J2934" i="121"/>
  <c r="P2931" i="121"/>
  <c r="P2932" i="121"/>
  <c r="P2933" i="121"/>
  <c r="P2930" i="121"/>
  <c r="I2931" i="121"/>
  <c r="I2932" i="121"/>
  <c r="I2933" i="121"/>
  <c r="I2930" i="121"/>
  <c r="J2927" i="121" l="1"/>
  <c r="P2926" i="121"/>
  <c r="P2925" i="121"/>
  <c r="I2926" i="121"/>
  <c r="I2925" i="121"/>
  <c r="J2922" i="121" l="1"/>
  <c r="P2912" i="121"/>
  <c r="P2913" i="121"/>
  <c r="P2914" i="121"/>
  <c r="P2915" i="121"/>
  <c r="P2916" i="121"/>
  <c r="P2917" i="121"/>
  <c r="P2918" i="121"/>
  <c r="P2919" i="121"/>
  <c r="P2920" i="121"/>
  <c r="P2921" i="121"/>
  <c r="P2911" i="121"/>
  <c r="I2912" i="121"/>
  <c r="I2913" i="121"/>
  <c r="I2914" i="121"/>
  <c r="I2915" i="121"/>
  <c r="I2916" i="121"/>
  <c r="I2917" i="121"/>
  <c r="I2918" i="121"/>
  <c r="I2919" i="121"/>
  <c r="I2920" i="121"/>
  <c r="I2921" i="121"/>
  <c r="I2911" i="121"/>
  <c r="P2903" i="121" l="1"/>
  <c r="I2907" i="121" l="1"/>
  <c r="I2906" i="121"/>
  <c r="I2905" i="121"/>
  <c r="I2903" i="121"/>
  <c r="I2904" i="121"/>
  <c r="J2908" i="121"/>
  <c r="I2899" i="121" l="1"/>
  <c r="I2898" i="121"/>
  <c r="I2897" i="121"/>
  <c r="J2900" i="121"/>
  <c r="J2894" i="121" l="1"/>
  <c r="I2893" i="121" l="1"/>
  <c r="I2892" i="121"/>
  <c r="I2885" i="121" l="1"/>
  <c r="J2886" i="121"/>
  <c r="J2882" i="121" l="1"/>
  <c r="P2881" i="121" l="1"/>
  <c r="I2881" i="121"/>
  <c r="P2877" i="121" l="1"/>
  <c r="P2876" i="121"/>
  <c r="J2878" i="121"/>
  <c r="I2877" i="121"/>
  <c r="I2876" i="121"/>
  <c r="J2873" i="121" l="1"/>
  <c r="P2869" i="121"/>
  <c r="P2870" i="121"/>
  <c r="P2871" i="121"/>
  <c r="P2872" i="121"/>
  <c r="P2868" i="121"/>
  <c r="I2869" i="121"/>
  <c r="I2870" i="121"/>
  <c r="I2871" i="121"/>
  <c r="I2872" i="121"/>
  <c r="I2868" i="121"/>
  <c r="P2864" i="121" l="1"/>
  <c r="J2865" i="121" l="1"/>
  <c r="I2864" i="121"/>
  <c r="P2860" i="121"/>
  <c r="P2859" i="121"/>
  <c r="J2861" i="121" l="1"/>
  <c r="I2860" i="121"/>
  <c r="I2859" i="121"/>
  <c r="P2855" i="121" l="1"/>
  <c r="P2854" i="121"/>
  <c r="P2853" i="121"/>
  <c r="P2852" i="121"/>
  <c r="P2851" i="121"/>
  <c r="I2855" i="121" l="1"/>
  <c r="I2854" i="121"/>
  <c r="I2853" i="121"/>
  <c r="I2852" i="121"/>
  <c r="I2851" i="121"/>
  <c r="I2850" i="121"/>
  <c r="I2849" i="121"/>
  <c r="I2848" i="121"/>
  <c r="J2856" i="121" l="1"/>
  <c r="J2845" i="121" l="1"/>
  <c r="I2844" i="121"/>
  <c r="I2843" i="121"/>
  <c r="J2840" i="121"/>
  <c r="I2839" i="121" l="1"/>
  <c r="I2838" i="121"/>
  <c r="I2837" i="121"/>
  <c r="I2835" i="121"/>
  <c r="I2834" i="121"/>
  <c r="I2836" i="121"/>
  <c r="J2831" i="121" l="1"/>
  <c r="P2830" i="121"/>
  <c r="I2830" i="121"/>
  <c r="P2827" i="121" l="1"/>
  <c r="P2828" i="121"/>
  <c r="P2829" i="121"/>
  <c r="I2827" i="121" l="1"/>
  <c r="I2828" i="121"/>
  <c r="I2829" i="121"/>
  <c r="J2824" i="121" l="1"/>
  <c r="P2813" i="121"/>
  <c r="P2814" i="121"/>
  <c r="P2815" i="121"/>
  <c r="P2816" i="121"/>
  <c r="P2817" i="121"/>
  <c r="P2818" i="121"/>
  <c r="P2819" i="121"/>
  <c r="P2820" i="121"/>
  <c r="P2821" i="121"/>
  <c r="P2822" i="121"/>
  <c r="P2823" i="121"/>
  <c r="P2812" i="121"/>
  <c r="I2813" i="121"/>
  <c r="I2814" i="121"/>
  <c r="I2815" i="121"/>
  <c r="I2816" i="121"/>
  <c r="I2817" i="121"/>
  <c r="I2818" i="121"/>
  <c r="I2819" i="121"/>
  <c r="I2820" i="121"/>
  <c r="I2821" i="121"/>
  <c r="I2822" i="121"/>
  <c r="I2823" i="121"/>
  <c r="I2812" i="121"/>
  <c r="J2809" i="121" l="1"/>
  <c r="P2804" i="121" l="1"/>
  <c r="P2805" i="121"/>
  <c r="P2806" i="121"/>
  <c r="P2807" i="121"/>
  <c r="P2808" i="121"/>
  <c r="I2804" i="121"/>
  <c r="I2805" i="121"/>
  <c r="I2806" i="121"/>
  <c r="I2807" i="121"/>
  <c r="I2808" i="121"/>
  <c r="P2800" i="121"/>
  <c r="P2801" i="121"/>
  <c r="P2802" i="121"/>
  <c r="P2803" i="121"/>
  <c r="I2800" i="121" l="1"/>
  <c r="I2801" i="121"/>
  <c r="I2802" i="121"/>
  <c r="I2803" i="121"/>
  <c r="J2797" i="121" l="1"/>
  <c r="P2796" i="121"/>
  <c r="I2796" i="121"/>
  <c r="P2795" i="121"/>
  <c r="I2795" i="121"/>
  <c r="P2794" i="121"/>
  <c r="I2794" i="121" l="1"/>
  <c r="J2791" i="121"/>
  <c r="P2788" i="121"/>
  <c r="P2789" i="121"/>
  <c r="P2790" i="121"/>
  <c r="I2789" i="121"/>
  <c r="I2790" i="121"/>
  <c r="I2788" i="121"/>
  <c r="P2787" i="121"/>
  <c r="I2787" i="121" l="1"/>
  <c r="P2778" i="121"/>
  <c r="P2779" i="121"/>
  <c r="P2780" i="121"/>
  <c r="P2781" i="121"/>
  <c r="P2782" i="121"/>
  <c r="P2783" i="121"/>
  <c r="P2777" i="121"/>
  <c r="P2773" i="121"/>
  <c r="P2772" i="121"/>
  <c r="P2771" i="121"/>
  <c r="P2770" i="121"/>
  <c r="P2769" i="121"/>
  <c r="P2768" i="121"/>
  <c r="P2767" i="121"/>
  <c r="J2784" i="121" l="1"/>
  <c r="I2778" i="121"/>
  <c r="I2779" i="121"/>
  <c r="I2780" i="121"/>
  <c r="I2781" i="121"/>
  <c r="I2782" i="121"/>
  <c r="I2783" i="121"/>
  <c r="I2777" i="121"/>
  <c r="I2773" i="121" l="1"/>
  <c r="I2772" i="121"/>
  <c r="I2770" i="121"/>
  <c r="I2769" i="121"/>
  <c r="I2768" i="121"/>
  <c r="I2767" i="121"/>
  <c r="J2774" i="121" l="1"/>
  <c r="I2763" i="121" l="1"/>
  <c r="I2762" i="121"/>
  <c r="P2763" i="121"/>
  <c r="J2764" i="121" l="1"/>
  <c r="I2757" i="121" l="1"/>
  <c r="J2759" i="121"/>
  <c r="I2753" i="121" l="1"/>
  <c r="J2754" i="121" l="1"/>
  <c r="J2750" i="121" l="1"/>
  <c r="P2745" i="121"/>
  <c r="P2746" i="121"/>
  <c r="P2747" i="121"/>
  <c r="P2748" i="121"/>
  <c r="P2749" i="121"/>
  <c r="I2745" i="121"/>
  <c r="I2746" i="121"/>
  <c r="I2747" i="121"/>
  <c r="I2748" i="121"/>
  <c r="I2749" i="121"/>
  <c r="P2744" i="121"/>
  <c r="I2744" i="121"/>
  <c r="P2743" i="121"/>
  <c r="I2743" i="121" l="1"/>
  <c r="J2740" i="121" l="1"/>
  <c r="P2739" i="121"/>
  <c r="I2739" i="121"/>
  <c r="J2737" i="121" l="1"/>
  <c r="P2736" i="121"/>
  <c r="I2736" i="121"/>
  <c r="P2735" i="121"/>
  <c r="I2735" i="121" l="1"/>
  <c r="J2732" i="121" l="1"/>
  <c r="P2731" i="121"/>
  <c r="P2730" i="121"/>
  <c r="I2730" i="121"/>
  <c r="I2731" i="121"/>
  <c r="P2729" i="121"/>
  <c r="I2729" i="121"/>
  <c r="P2727" i="121"/>
  <c r="P2728" i="121"/>
  <c r="I2727" i="121" l="1"/>
  <c r="I2728" i="121"/>
  <c r="J2724" i="121" l="1"/>
  <c r="P2722" i="121"/>
  <c r="P2723" i="121"/>
  <c r="P2721" i="121"/>
  <c r="I2722" i="121"/>
  <c r="I2723" i="121"/>
  <c r="I2721" i="121"/>
  <c r="P2717" i="121" l="1"/>
  <c r="P2716" i="121"/>
  <c r="J2718" i="121"/>
  <c r="I2717" i="121"/>
  <c r="I2716" i="121"/>
  <c r="J2713" i="121" l="1"/>
  <c r="P2710" i="121"/>
  <c r="P2711" i="121"/>
  <c r="P2712" i="121"/>
  <c r="I2710" i="121"/>
  <c r="I2711" i="121"/>
  <c r="I2712" i="121"/>
  <c r="P2709" i="121"/>
  <c r="I2709" i="121"/>
  <c r="P2708" i="121" l="1"/>
  <c r="P2707" i="121"/>
  <c r="I2707" i="121" l="1"/>
  <c r="I2708" i="121"/>
  <c r="J2704" i="121" l="1"/>
  <c r="I2703" i="121"/>
  <c r="I2702" i="121"/>
  <c r="I2701" i="121"/>
  <c r="I2700" i="121"/>
  <c r="I2699" i="121"/>
  <c r="I2695" i="121" l="1"/>
  <c r="J2696" i="121"/>
  <c r="J2692" i="121" l="1"/>
  <c r="P2690" i="121"/>
  <c r="P2691" i="121"/>
  <c r="I2690" i="121"/>
  <c r="I2691" i="121"/>
  <c r="P2689" i="121"/>
  <c r="P2686" i="121"/>
  <c r="P2687" i="121"/>
  <c r="P2688" i="121"/>
  <c r="I2686" i="121" l="1"/>
  <c r="I2687" i="121"/>
  <c r="I2688" i="121"/>
  <c r="I2689" i="121"/>
  <c r="J2683" i="121" l="1"/>
  <c r="P2682" i="121"/>
  <c r="I2682" i="121"/>
  <c r="P2680" i="121"/>
  <c r="P2681" i="121"/>
  <c r="P2678" i="121"/>
  <c r="P2679" i="121"/>
  <c r="I2678" i="121" l="1"/>
  <c r="I2679" i="121"/>
  <c r="I2680" i="121"/>
  <c r="I2681" i="121"/>
  <c r="J2675" i="121"/>
  <c r="P2673" i="121" l="1"/>
  <c r="P2674" i="121"/>
  <c r="I2673" i="121" l="1"/>
  <c r="I2674" i="121"/>
  <c r="J2670" i="121" l="1"/>
  <c r="P2668" i="121" l="1"/>
  <c r="P2669" i="121"/>
  <c r="I2669" i="121"/>
  <c r="I2668" i="121"/>
  <c r="P2667" i="121"/>
  <c r="I2667" i="121" l="1"/>
  <c r="J2664" i="121" l="1"/>
  <c r="I2662" i="121"/>
  <c r="I2663" i="121"/>
  <c r="P2662" i="121"/>
  <c r="P2663" i="121"/>
  <c r="P2661" i="121"/>
  <c r="I2661" i="121"/>
  <c r="B70" i="149" l="1"/>
  <c r="B74" i="149" s="1"/>
  <c r="P2655" i="121"/>
  <c r="P2656" i="121"/>
  <c r="P2657" i="121"/>
  <c r="P2654" i="121"/>
  <c r="I2655" i="121" l="1"/>
  <c r="I2657" i="121"/>
  <c r="I2656" i="121"/>
  <c r="I2654" i="121"/>
  <c r="J2658" i="121" l="1"/>
  <c r="P2647" i="121" l="1"/>
  <c r="P2648" i="121"/>
  <c r="P2649" i="121"/>
  <c r="P2650" i="121"/>
  <c r="P2646" i="121"/>
  <c r="P2642" i="121"/>
  <c r="P2641" i="121"/>
  <c r="I2650" i="121" l="1"/>
  <c r="I2649" i="121"/>
  <c r="I2648" i="121"/>
  <c r="I2647" i="121"/>
  <c r="I2646" i="121"/>
  <c r="J2651" i="121" l="1"/>
  <c r="J2643" i="121" l="1"/>
  <c r="I2642" i="121"/>
  <c r="I2641" i="121"/>
  <c r="P2608" i="121" l="1"/>
  <c r="I2608" i="121"/>
  <c r="F352" i="1"/>
  <c r="F359" i="1" l="1"/>
  <c r="J2638" i="121" l="1"/>
  <c r="P2636" i="121"/>
  <c r="P2637" i="121"/>
  <c r="I2636" i="121"/>
  <c r="I2637" i="121"/>
  <c r="P2635" i="121"/>
  <c r="I2635" i="121" l="1"/>
  <c r="P2634" i="121" l="1"/>
  <c r="I2634" i="121"/>
  <c r="J2632" i="121" l="1"/>
  <c r="P2631" i="121"/>
  <c r="I2631" i="121"/>
  <c r="P2630" i="121"/>
  <c r="I2630" i="121" l="1"/>
  <c r="J2627" i="121" l="1"/>
  <c r="P2626" i="121"/>
  <c r="I2626" i="121"/>
  <c r="P2623" i="121" l="1"/>
  <c r="P2624" i="121"/>
  <c r="P2625" i="121"/>
  <c r="I2623" i="121"/>
  <c r="I2624" i="121"/>
  <c r="I2625" i="121"/>
  <c r="J2620" i="121" l="1"/>
  <c r="P2618" i="121" l="1"/>
  <c r="P2619" i="121"/>
  <c r="I2618" i="121"/>
  <c r="I2619" i="121"/>
  <c r="P2613" i="121"/>
  <c r="P2614" i="121"/>
  <c r="P2615" i="121"/>
  <c r="P2616" i="121"/>
  <c r="P2617" i="121"/>
  <c r="I2613" i="121" l="1"/>
  <c r="I2614" i="121"/>
  <c r="I2615" i="121"/>
  <c r="I2616" i="121"/>
  <c r="I2617" i="121"/>
  <c r="J2610" i="121" l="1"/>
  <c r="P2609" i="121"/>
  <c r="I2609" i="121"/>
  <c r="P2606" i="121" l="1"/>
  <c r="P2607" i="121"/>
  <c r="I2606" i="121"/>
  <c r="I2607" i="121"/>
  <c r="P2604" i="121"/>
  <c r="P2605" i="121"/>
  <c r="I2605" i="121"/>
  <c r="P2603" i="121"/>
  <c r="P2602" i="121" l="1"/>
  <c r="I2602" i="121"/>
  <c r="I2603" i="121"/>
  <c r="I2604" i="121"/>
  <c r="J2599" i="121" l="1"/>
  <c r="P2587" i="121"/>
  <c r="P2588" i="121"/>
  <c r="P2589" i="121"/>
  <c r="P2590" i="121"/>
  <c r="P2591" i="121"/>
  <c r="P2592" i="121"/>
  <c r="P2593" i="121"/>
  <c r="P2594" i="121"/>
  <c r="P2595" i="121"/>
  <c r="P2596" i="121"/>
  <c r="P2597" i="121"/>
  <c r="P2598" i="121"/>
  <c r="P2586" i="121"/>
  <c r="I2587" i="121"/>
  <c r="I2588" i="121"/>
  <c r="I2589" i="121"/>
  <c r="I2590" i="121"/>
  <c r="I2591" i="121"/>
  <c r="I2592" i="121"/>
  <c r="I2593" i="121"/>
  <c r="I2594" i="121"/>
  <c r="I2595" i="121"/>
  <c r="I2596" i="121"/>
  <c r="I2597" i="121"/>
  <c r="I2598" i="121"/>
  <c r="I2586" i="121"/>
  <c r="I2582" i="121" l="1"/>
  <c r="I2581" i="121"/>
  <c r="I2580" i="121"/>
  <c r="I2579" i="121"/>
  <c r="I2578" i="121"/>
  <c r="J2583" i="121"/>
  <c r="L45" i="150"/>
  <c r="L46" i="150"/>
  <c r="L47" i="150"/>
  <c r="L48" i="150"/>
  <c r="L49" i="150"/>
  <c r="L50" i="150"/>
  <c r="L51" i="150"/>
  <c r="L52" i="150"/>
  <c r="L53" i="150"/>
  <c r="L54" i="150"/>
  <c r="L55" i="150"/>
  <c r="L56" i="150"/>
  <c r="L57" i="150"/>
  <c r="L58" i="150"/>
  <c r="L59" i="150"/>
  <c r="L60" i="150"/>
  <c r="L61" i="150"/>
  <c r="L62" i="150"/>
  <c r="L63" i="150"/>
  <c r="K45" i="150"/>
  <c r="K46" i="150"/>
  <c r="K47" i="150"/>
  <c r="K48" i="150"/>
  <c r="K49" i="150"/>
  <c r="K50" i="150"/>
  <c r="K51" i="150"/>
  <c r="K52" i="150"/>
  <c r="K53" i="150"/>
  <c r="K54" i="150"/>
  <c r="K55" i="150"/>
  <c r="K56" i="150"/>
  <c r="K57" i="150"/>
  <c r="K58" i="150"/>
  <c r="K59" i="150"/>
  <c r="K60" i="150"/>
  <c r="K61" i="150"/>
  <c r="K62" i="150"/>
  <c r="K63" i="150"/>
  <c r="J44" i="150"/>
  <c r="J45" i="150"/>
  <c r="J46" i="150"/>
  <c r="J47" i="150"/>
  <c r="J48" i="150"/>
  <c r="J49" i="150"/>
  <c r="J50" i="150"/>
  <c r="J51" i="150"/>
  <c r="J52" i="150"/>
  <c r="J53" i="150"/>
  <c r="J54" i="150"/>
  <c r="J55" i="150"/>
  <c r="J56" i="150"/>
  <c r="J57" i="150"/>
  <c r="J58" i="150"/>
  <c r="J59" i="150"/>
  <c r="J60" i="150"/>
  <c r="J61" i="150"/>
  <c r="J62" i="150"/>
  <c r="J63" i="150"/>
  <c r="I2574" i="121" l="1"/>
  <c r="I2573" i="121"/>
  <c r="I2572" i="121"/>
  <c r="I2571" i="121"/>
  <c r="I2570" i="121"/>
  <c r="I2569" i="121"/>
  <c r="J2575" i="121"/>
  <c r="J2566" i="121" l="1"/>
  <c r="I2565" i="121"/>
  <c r="I2564" i="121"/>
  <c r="I2563" i="121"/>
  <c r="J2560" i="121" l="1"/>
  <c r="P2559" i="121"/>
  <c r="P2558" i="121"/>
  <c r="I2558" i="121" l="1"/>
  <c r="I2559" i="121"/>
  <c r="J2555" i="121" l="1"/>
  <c r="P2554" i="121"/>
  <c r="I2554" i="121"/>
  <c r="P2553" i="121"/>
  <c r="I2553" i="121"/>
  <c r="P2552" i="121"/>
  <c r="I2552" i="121"/>
  <c r="P2551" i="121"/>
  <c r="P2550" i="121"/>
  <c r="I2550" i="121" l="1"/>
  <c r="I2551" i="121"/>
  <c r="J2547" i="121" l="1"/>
  <c r="P2545" i="121"/>
  <c r="P2546" i="121"/>
  <c r="I2545" i="121"/>
  <c r="I2546" i="121"/>
  <c r="P2541" i="121"/>
  <c r="P2542" i="121"/>
  <c r="P2543" i="121"/>
  <c r="P2544" i="121"/>
  <c r="I2541" i="121"/>
  <c r="I2542" i="121"/>
  <c r="I2543" i="121"/>
  <c r="I2544" i="121"/>
  <c r="P2540" i="121"/>
  <c r="I2540" i="121"/>
  <c r="P2539" i="121"/>
  <c r="I2539" i="121" l="1"/>
  <c r="J2536" i="121" l="1"/>
  <c r="P2532" i="121"/>
  <c r="P2533" i="121"/>
  <c r="P2534" i="121"/>
  <c r="P2535" i="121"/>
  <c r="I2532" i="121"/>
  <c r="I2533" i="121"/>
  <c r="I2534" i="121"/>
  <c r="I2535" i="121"/>
  <c r="P2531" i="121"/>
  <c r="I2531" i="121" l="1"/>
  <c r="P2530" i="121"/>
  <c r="I2530" i="121" l="1"/>
  <c r="P2525" i="121" l="1"/>
  <c r="I2525" i="121" l="1"/>
  <c r="J2526" i="121" l="1"/>
  <c r="J2522" i="121" l="1"/>
  <c r="P2516" i="121"/>
  <c r="P2517" i="121"/>
  <c r="P2518" i="121"/>
  <c r="P2519" i="121"/>
  <c r="P2520" i="121"/>
  <c r="P2521" i="121"/>
  <c r="P2515" i="121"/>
  <c r="I2516" i="121"/>
  <c r="I2517" i="121"/>
  <c r="I2518" i="121"/>
  <c r="I2519" i="121"/>
  <c r="I2520" i="121"/>
  <c r="I2521" i="121"/>
  <c r="I2515" i="121"/>
  <c r="J2512" i="121" l="1"/>
  <c r="P2510" i="121"/>
  <c r="P2511" i="121"/>
  <c r="I2510" i="121"/>
  <c r="I2511" i="121"/>
  <c r="P2508" i="121"/>
  <c r="P2509" i="121"/>
  <c r="I2508" i="121" l="1"/>
  <c r="I2509" i="121"/>
  <c r="P2507" i="121"/>
  <c r="I2507" i="121"/>
  <c r="H106" i="149"/>
  <c r="J2504" i="121" l="1"/>
  <c r="P2501" i="121"/>
  <c r="P2502" i="121"/>
  <c r="P2503" i="121"/>
  <c r="I2501" i="121"/>
  <c r="I2502" i="121"/>
  <c r="I2503" i="121"/>
  <c r="P2500" i="121"/>
  <c r="I2500" i="121"/>
  <c r="P2499" i="121"/>
  <c r="I2499" i="121"/>
  <c r="J2496" i="121" l="1"/>
  <c r="P2492" i="121"/>
  <c r="P2493" i="121"/>
  <c r="P2494" i="121"/>
  <c r="P2495" i="121"/>
  <c r="I2492" i="121"/>
  <c r="I2493" i="121"/>
  <c r="I2494" i="121"/>
  <c r="I2495" i="121"/>
  <c r="P2489" i="121"/>
  <c r="P2490" i="121"/>
  <c r="P2491" i="121"/>
  <c r="I2489" i="121"/>
  <c r="I2490" i="121"/>
  <c r="I2491" i="121"/>
  <c r="P2488" i="121" l="1"/>
  <c r="P2487" i="121" l="1"/>
  <c r="I2487" i="121"/>
  <c r="I2488" i="121"/>
  <c r="J2484" i="121" l="1"/>
  <c r="P2483" i="121" l="1"/>
  <c r="I2483" i="121"/>
  <c r="I2479" i="121" l="1"/>
  <c r="I2477" i="121"/>
  <c r="I2476" i="121"/>
  <c r="I2475" i="121"/>
  <c r="I2478" i="121"/>
  <c r="J2480" i="121" l="1"/>
  <c r="C26" i="150"/>
  <c r="I2471" i="121" l="1"/>
  <c r="I2470" i="121"/>
  <c r="I2469" i="121"/>
  <c r="J2472" i="121"/>
  <c r="I2465" i="121"/>
  <c r="I2463" i="121"/>
  <c r="I2461" i="121"/>
  <c r="I2460" i="121"/>
  <c r="I2462" i="121"/>
  <c r="I2464" i="121"/>
  <c r="J2466" i="121" l="1"/>
  <c r="P2456" i="121" l="1"/>
  <c r="P2455" i="121"/>
  <c r="P2454" i="121"/>
  <c r="P2453" i="121"/>
  <c r="P2452" i="121"/>
  <c r="P2451" i="121"/>
  <c r="P2450" i="121"/>
  <c r="P2449" i="121"/>
  <c r="P2448" i="121"/>
  <c r="P2447" i="121"/>
  <c r="P2446" i="121"/>
  <c r="P2445" i="121"/>
  <c r="P2444" i="121"/>
  <c r="P2443" i="121"/>
  <c r="I2456" i="121" l="1"/>
  <c r="I2455" i="121"/>
  <c r="I2454" i="121"/>
  <c r="I2453" i="121"/>
  <c r="I2452" i="121"/>
  <c r="I2451" i="121"/>
  <c r="I2450" i="121"/>
  <c r="I2449" i="121"/>
  <c r="I2448" i="121"/>
  <c r="I2447" i="121"/>
  <c r="I2446" i="121"/>
  <c r="I2445" i="121"/>
  <c r="I2444" i="121"/>
  <c r="I2443" i="121"/>
  <c r="J2457" i="121"/>
  <c r="I2439" i="121" l="1"/>
  <c r="J2440" i="121"/>
  <c r="P2435" i="121" l="1"/>
  <c r="P2434" i="121"/>
  <c r="J2436" i="121" l="1"/>
  <c r="I2435" i="121"/>
  <c r="I2434" i="121"/>
  <c r="J2431" i="121"/>
  <c r="P2429" i="121" l="1"/>
  <c r="I2430" i="121" l="1"/>
  <c r="I2429" i="121"/>
  <c r="I2428" i="121"/>
  <c r="I2427" i="121"/>
  <c r="I2426" i="121"/>
  <c r="I2422" i="121" l="1"/>
  <c r="J2423" i="121" l="1"/>
  <c r="P2417" i="121" l="1"/>
  <c r="I2417" i="121"/>
  <c r="P2412" i="121"/>
  <c r="P2410" i="121"/>
  <c r="J2419" i="121" l="1"/>
  <c r="I2418" i="121"/>
  <c r="I2416" i="121"/>
  <c r="I2415" i="121"/>
  <c r="I2414" i="121"/>
  <c r="I2413" i="121"/>
  <c r="I2412" i="121"/>
  <c r="I2411" i="121"/>
  <c r="I2410" i="121"/>
  <c r="I2409" i="121"/>
  <c r="J2406" i="121"/>
  <c r="I2405" i="121" l="1"/>
  <c r="J2402" i="121" l="1"/>
  <c r="P2398" i="121"/>
  <c r="P2399" i="121"/>
  <c r="P2400" i="121"/>
  <c r="P2401" i="121"/>
  <c r="I2398" i="121"/>
  <c r="I2399" i="121"/>
  <c r="I2400" i="121"/>
  <c r="I2401" i="121"/>
  <c r="P2397" i="121"/>
  <c r="I2397" i="121"/>
  <c r="P2396" i="121"/>
  <c r="I2396" i="121" l="1"/>
  <c r="J2393" i="121"/>
  <c r="P2392" i="121"/>
  <c r="I2392" i="121" l="1"/>
  <c r="P2390" i="121"/>
  <c r="P2391" i="121"/>
  <c r="I2390" i="121"/>
  <c r="I2391" i="121"/>
  <c r="J2387" i="121" l="1"/>
  <c r="P2385" i="121"/>
  <c r="P2386" i="121"/>
  <c r="I2385" i="121"/>
  <c r="I2386" i="121"/>
  <c r="P2384" i="121"/>
  <c r="I2384" i="121" l="1"/>
  <c r="P2383" i="121" l="1"/>
  <c r="I2383" i="121"/>
  <c r="P2382" i="121"/>
  <c r="I2382" i="121" l="1"/>
  <c r="J2379" i="121" l="1"/>
  <c r="P2378" i="121"/>
  <c r="I2378" i="121"/>
  <c r="P2374" i="121"/>
  <c r="P2375" i="121"/>
  <c r="P2376" i="121"/>
  <c r="P2377" i="121"/>
  <c r="I2374" i="121"/>
  <c r="I2375" i="121"/>
  <c r="I2376" i="121"/>
  <c r="I2377" i="121"/>
  <c r="P2372" i="121" l="1"/>
  <c r="P2373" i="121"/>
  <c r="I2373" i="121"/>
  <c r="I2372" i="121"/>
  <c r="P2365" i="121" l="1"/>
  <c r="P2366" i="121"/>
  <c r="P2367" i="121"/>
  <c r="P2368" i="121"/>
  <c r="J2369" i="121"/>
  <c r="I2365" i="121"/>
  <c r="I2366" i="121"/>
  <c r="I2367" i="121"/>
  <c r="I2368" i="121"/>
  <c r="P2364" i="121"/>
  <c r="I2364" i="121"/>
  <c r="P2352" i="121" l="1"/>
  <c r="P2353" i="121"/>
  <c r="P2354" i="121"/>
  <c r="P2355" i="121"/>
  <c r="P2356" i="121"/>
  <c r="P2357" i="121"/>
  <c r="P2358" i="121"/>
  <c r="P2359" i="121"/>
  <c r="P2351" i="121"/>
  <c r="P2363" i="121"/>
  <c r="I2363" i="121"/>
  <c r="I2355" i="121" l="1"/>
  <c r="I2356" i="121"/>
  <c r="I2357" i="121"/>
  <c r="I2358" i="121"/>
  <c r="I2359" i="121"/>
  <c r="I2354" i="121"/>
  <c r="I2353" i="121" l="1"/>
  <c r="I2352" i="121"/>
  <c r="I2351" i="121"/>
  <c r="J2360" i="121" l="1"/>
  <c r="J2348" i="121"/>
  <c r="I2347" i="121" l="1"/>
  <c r="P2342" i="121" l="1"/>
  <c r="P2339" i="121"/>
  <c r="I2343" i="121" l="1"/>
  <c r="I2342" i="121"/>
  <c r="I2341" i="121"/>
  <c r="I2340" i="121"/>
  <c r="I2339" i="121"/>
  <c r="I2338" i="121"/>
  <c r="J2344" i="121"/>
  <c r="J2335" i="121"/>
  <c r="I2334" i="121" l="1"/>
  <c r="J2331" i="121" l="1"/>
  <c r="P2330" i="121"/>
  <c r="I2330" i="121"/>
  <c r="P2329" i="121" l="1"/>
  <c r="I2329" i="121"/>
  <c r="P2328" i="121"/>
  <c r="I2328" i="121"/>
  <c r="P2327" i="121"/>
  <c r="I2327" i="121"/>
  <c r="P2326" i="121"/>
  <c r="I2326" i="121"/>
  <c r="P2325" i="121"/>
  <c r="I2325" i="121"/>
  <c r="P2324" i="121"/>
  <c r="I2324" i="121"/>
  <c r="P2323" i="121"/>
  <c r="I2323" i="121"/>
  <c r="P2322" i="121"/>
  <c r="I2322" i="121" l="1"/>
  <c r="J2320" i="121" l="1"/>
  <c r="P2319" i="121"/>
  <c r="I2319" i="121"/>
  <c r="P2318" i="121"/>
  <c r="I2318" i="121"/>
  <c r="P2317" i="121"/>
  <c r="I2317" i="121"/>
  <c r="P2316" i="121"/>
  <c r="I2316" i="121"/>
  <c r="P2315" i="121"/>
  <c r="I2315" i="121"/>
  <c r="P2314" i="121"/>
  <c r="I2314" i="121"/>
  <c r="J2312" i="121" l="1"/>
  <c r="P2311" i="121"/>
  <c r="I2311" i="121"/>
  <c r="P2310" i="121"/>
  <c r="I2310" i="121"/>
  <c r="P2309" i="121" l="1"/>
  <c r="I2309" i="121"/>
  <c r="P2308" i="121"/>
  <c r="I2308" i="121"/>
  <c r="P2307" i="121" l="1"/>
  <c r="I2307" i="121"/>
  <c r="P2306" i="121"/>
  <c r="I2306" i="121"/>
  <c r="P2305" i="121"/>
  <c r="I2305" i="121"/>
  <c r="P2304" i="121"/>
  <c r="I2304" i="121"/>
  <c r="P2303" i="121"/>
  <c r="I2303" i="121"/>
  <c r="C52" i="150" l="1"/>
  <c r="J2301" i="121" l="1"/>
  <c r="P2300" i="121"/>
  <c r="I2300" i="121"/>
  <c r="P2299" i="121"/>
  <c r="I2299" i="121"/>
  <c r="P2297" i="121" l="1"/>
  <c r="P2298" i="121"/>
  <c r="I2297" i="121" l="1"/>
  <c r="I2298" i="121"/>
  <c r="J2295" i="121" l="1"/>
  <c r="P2294" i="121"/>
  <c r="I2294" i="121"/>
  <c r="P2292" i="121"/>
  <c r="P2293" i="121"/>
  <c r="I2292" i="121" l="1"/>
  <c r="I2293" i="121"/>
  <c r="P2291" i="121"/>
  <c r="I2291" i="121"/>
  <c r="P2290" i="121" l="1"/>
  <c r="I2290" i="121" l="1"/>
  <c r="J2288" i="121" l="1"/>
  <c r="I2283" i="121"/>
  <c r="I2284" i="121"/>
  <c r="I2285" i="121"/>
  <c r="I2286" i="121"/>
  <c r="I2287" i="121"/>
  <c r="I2282" i="121"/>
  <c r="J2279" i="121"/>
  <c r="P2273" i="121"/>
  <c r="P2274" i="121"/>
  <c r="P2275" i="121"/>
  <c r="P2276" i="121"/>
  <c r="I2277" i="121" l="1"/>
  <c r="I2278" i="121"/>
  <c r="I2273" i="121"/>
  <c r="I2274" i="121"/>
  <c r="I2275" i="121"/>
  <c r="I2276" i="121"/>
  <c r="I2272" i="121"/>
  <c r="P2258" i="121" l="1"/>
  <c r="J2269" i="121" l="1"/>
  <c r="I2268" i="121"/>
  <c r="I2267" i="121"/>
  <c r="I2266" i="121"/>
  <c r="I2265" i="121"/>
  <c r="I2264" i="121"/>
  <c r="I2263" i="121"/>
  <c r="I2262" i="121"/>
  <c r="I2261" i="121"/>
  <c r="I2260" i="121"/>
  <c r="I2259" i="121"/>
  <c r="I2258" i="121"/>
  <c r="I2257" i="121"/>
  <c r="I2253" i="121" l="1"/>
  <c r="I2252" i="121"/>
  <c r="I2251" i="121"/>
  <c r="I2250" i="121"/>
  <c r="I2249" i="121"/>
  <c r="J2254" i="121" l="1"/>
  <c r="I2245" i="121"/>
  <c r="I2244" i="121"/>
  <c r="I2243" i="121"/>
  <c r="I2242" i="121"/>
  <c r="J2246" i="121" l="1"/>
  <c r="J2239" i="121" l="1"/>
  <c r="I2238" i="121"/>
  <c r="I2237" i="121"/>
  <c r="P2233" i="121"/>
  <c r="J2234" i="121" l="1"/>
  <c r="I2233" i="121"/>
  <c r="I2232" i="121"/>
  <c r="I2231" i="121"/>
  <c r="I2227" i="121" l="1"/>
  <c r="P2226" i="121"/>
  <c r="P2225" i="121"/>
  <c r="I2226" i="121"/>
  <c r="I2225" i="121"/>
  <c r="J2228" i="121" l="1"/>
  <c r="J2222" i="121" l="1"/>
  <c r="P2220" i="121"/>
  <c r="P2221" i="121"/>
  <c r="I2220" i="121"/>
  <c r="I2221" i="121"/>
  <c r="P2219" i="121"/>
  <c r="I2219" i="121"/>
  <c r="J2216" i="121" l="1"/>
  <c r="P2215" i="121"/>
  <c r="I2215" i="121"/>
  <c r="P2213" i="121"/>
  <c r="P2214" i="121"/>
  <c r="I2214" i="121"/>
  <c r="I2213" i="121"/>
  <c r="P2212" i="121" l="1"/>
  <c r="I2212" i="121"/>
  <c r="F29" i="150"/>
  <c r="F28" i="150"/>
  <c r="F26" i="150"/>
  <c r="F27" i="150"/>
  <c r="A17" i="150"/>
  <c r="A18" i="150"/>
  <c r="A19" i="150"/>
  <c r="A20" i="150"/>
  <c r="A21" i="150"/>
  <c r="A22" i="150"/>
  <c r="A23" i="150"/>
  <c r="A24" i="150"/>
  <c r="A25" i="150"/>
  <c r="A26" i="150"/>
  <c r="J2209" i="121" l="1"/>
  <c r="P2205" i="121"/>
  <c r="P2206" i="121"/>
  <c r="P2207" i="121"/>
  <c r="P2208" i="121"/>
  <c r="I2205" i="121"/>
  <c r="I2206" i="121"/>
  <c r="I2207" i="121"/>
  <c r="I2208" i="121"/>
  <c r="P2204" i="121"/>
  <c r="I2204" i="121"/>
  <c r="P2202" i="121"/>
  <c r="P2203" i="121"/>
  <c r="I2202" i="121" l="1"/>
  <c r="I2203" i="121"/>
  <c r="P2184" i="121"/>
  <c r="P2185" i="121"/>
  <c r="P2186" i="121"/>
  <c r="P2187" i="121"/>
  <c r="P2188" i="121"/>
  <c r="P2189" i="121"/>
  <c r="P2183" i="121"/>
  <c r="I2184" i="121"/>
  <c r="I2185" i="121"/>
  <c r="I2186" i="121"/>
  <c r="I2187" i="121"/>
  <c r="I2188" i="121"/>
  <c r="I2189" i="121"/>
  <c r="I2183" i="121"/>
  <c r="P2196" i="121" l="1"/>
  <c r="P2197" i="121"/>
  <c r="P2198" i="121"/>
  <c r="J2199" i="121"/>
  <c r="I2196" i="121"/>
  <c r="I2197" i="121"/>
  <c r="I2198" i="121"/>
  <c r="P2194" i="121"/>
  <c r="P2195" i="121"/>
  <c r="I2194" i="121"/>
  <c r="I2195" i="121"/>
  <c r="P2193" i="121"/>
  <c r="I2193" i="121"/>
  <c r="J2190" i="121" l="1"/>
  <c r="J2180" i="121" l="1"/>
  <c r="P2173" i="121"/>
  <c r="P2174" i="121"/>
  <c r="P2175" i="121"/>
  <c r="P2176" i="121"/>
  <c r="P2177" i="121"/>
  <c r="P2178" i="121"/>
  <c r="P2179" i="121"/>
  <c r="I2173" i="121"/>
  <c r="I2174" i="121"/>
  <c r="I2175" i="121"/>
  <c r="I2176" i="121"/>
  <c r="I2177" i="121"/>
  <c r="I2178" i="121"/>
  <c r="I2179" i="121"/>
  <c r="J2170" i="121" l="1"/>
  <c r="P2167" i="121" l="1"/>
  <c r="P2168" i="121"/>
  <c r="P2169" i="121"/>
  <c r="I2167" i="121" l="1"/>
  <c r="I2168" i="121"/>
  <c r="I2169" i="121"/>
  <c r="K44" i="150"/>
  <c r="K32" i="150"/>
  <c r="K33" i="150"/>
  <c r="K34" i="150"/>
  <c r="K35" i="150"/>
  <c r="L34" i="150"/>
  <c r="L33" i="150"/>
  <c r="L32" i="150"/>
  <c r="L35" i="150"/>
  <c r="L36" i="150"/>
  <c r="F17" i="150" l="1"/>
  <c r="F18" i="150"/>
  <c r="F19" i="150"/>
  <c r="F20" i="150"/>
  <c r="F21" i="150"/>
  <c r="F22" i="150"/>
  <c r="F23" i="150"/>
  <c r="F24" i="150"/>
  <c r="F25" i="150"/>
  <c r="C17" i="150"/>
  <c r="C18" i="150"/>
  <c r="C19" i="150"/>
  <c r="C20" i="150"/>
  <c r="C21" i="150"/>
  <c r="C22" i="150"/>
  <c r="C23" i="150"/>
  <c r="C24" i="150"/>
  <c r="C25" i="150"/>
  <c r="J2164" i="121" l="1"/>
  <c r="P2160" i="121"/>
  <c r="P2161" i="121"/>
  <c r="P2162" i="121"/>
  <c r="P2163" i="121"/>
  <c r="P2159" i="121"/>
  <c r="P2158" i="121"/>
  <c r="I2160" i="121"/>
  <c r="I2161" i="121"/>
  <c r="I2162" i="121"/>
  <c r="I2163" i="121"/>
  <c r="I2158" i="121"/>
  <c r="I2159" i="121"/>
  <c r="A16" i="150" l="1"/>
  <c r="C16" i="150"/>
  <c r="C32" i="150" s="1"/>
  <c r="C34" i="150"/>
  <c r="P2154" i="121" l="1"/>
  <c r="J2155" i="121"/>
  <c r="I2154" i="121"/>
  <c r="J2151" i="121" l="1"/>
  <c r="P2150" i="121"/>
  <c r="P2146" i="121"/>
  <c r="P2145" i="121"/>
  <c r="P2137" i="121"/>
  <c r="P2138" i="121"/>
  <c r="P2139" i="121"/>
  <c r="P2140" i="121"/>
  <c r="P2141" i="121"/>
  <c r="P2136" i="121"/>
  <c r="P2133" i="121"/>
  <c r="I2150" i="121"/>
  <c r="J2147" i="121" l="1"/>
  <c r="I2146" i="121"/>
  <c r="I2145" i="121"/>
  <c r="J2142" i="121"/>
  <c r="J2134" i="121"/>
  <c r="I2140" i="121" l="1"/>
  <c r="I2141" i="121"/>
  <c r="I2139" i="121"/>
  <c r="I2138" i="121"/>
  <c r="I2137" i="121"/>
  <c r="I2136" i="121"/>
  <c r="J2130" i="121" l="1"/>
  <c r="P2124" i="121" l="1"/>
  <c r="P2125" i="121"/>
  <c r="P2126" i="121"/>
  <c r="P2127" i="121"/>
  <c r="P2128" i="121"/>
  <c r="P2129" i="121"/>
  <c r="I2124" i="121"/>
  <c r="I2125" i="121"/>
  <c r="I2126" i="121"/>
  <c r="I2127" i="121"/>
  <c r="I2128" i="121"/>
  <c r="I2129" i="121"/>
  <c r="J2121" i="121" l="1"/>
  <c r="P2119" i="121"/>
  <c r="P2120" i="121"/>
  <c r="I2119" i="121"/>
  <c r="I2120" i="121"/>
  <c r="J2116" i="121" l="1"/>
  <c r="P2097" i="121"/>
  <c r="P2098" i="121"/>
  <c r="P2099" i="121"/>
  <c r="P2100" i="121"/>
  <c r="P2101" i="121"/>
  <c r="P2102" i="121"/>
  <c r="P2103" i="121"/>
  <c r="P2104" i="121"/>
  <c r="P2105" i="121"/>
  <c r="P2106" i="121"/>
  <c r="P2107" i="121"/>
  <c r="P2108" i="121"/>
  <c r="P2109" i="121"/>
  <c r="P2110" i="121"/>
  <c r="P2111" i="121"/>
  <c r="P2112" i="121"/>
  <c r="P2113" i="121"/>
  <c r="P2114" i="121"/>
  <c r="P2115" i="121"/>
  <c r="I2097" i="121"/>
  <c r="I2098" i="121"/>
  <c r="I2099" i="121"/>
  <c r="I2100" i="121"/>
  <c r="I2101" i="121"/>
  <c r="I2102" i="121"/>
  <c r="I2103" i="121"/>
  <c r="I2104" i="121"/>
  <c r="I2105" i="121"/>
  <c r="I2106" i="121"/>
  <c r="I2107" i="121"/>
  <c r="I2108" i="121"/>
  <c r="I2109" i="121"/>
  <c r="I2110" i="121"/>
  <c r="I2111" i="121"/>
  <c r="I2112" i="121"/>
  <c r="I2113" i="121"/>
  <c r="I2114" i="121"/>
  <c r="I2115" i="121"/>
  <c r="E43" i="150" l="1"/>
  <c r="P2093" i="121" l="1"/>
  <c r="P2091" i="121"/>
  <c r="P2092" i="121"/>
  <c r="J2094" i="121" l="1"/>
  <c r="I2093" i="121"/>
  <c r="I2091" i="121"/>
  <c r="I2092" i="121"/>
  <c r="P2086" i="121" l="1"/>
  <c r="P2087" i="121"/>
  <c r="J2088" i="121"/>
  <c r="I2087" i="121"/>
  <c r="I2086" i="121"/>
  <c r="P2081" i="121"/>
  <c r="P2082" i="121"/>
  <c r="P2080" i="121"/>
  <c r="P2076" i="121"/>
  <c r="P2075" i="121"/>
  <c r="P2074" i="121"/>
  <c r="P2073" i="121"/>
  <c r="P2069" i="121"/>
  <c r="P2068" i="121"/>
  <c r="P2067" i="121"/>
  <c r="P2066" i="121"/>
  <c r="P2062" i="121"/>
  <c r="P2061" i="121"/>
  <c r="P2060" i="121"/>
  <c r="P2059" i="121"/>
  <c r="P2058" i="121"/>
  <c r="P2057" i="121"/>
  <c r="P2056" i="121"/>
  <c r="P2055" i="121"/>
  <c r="P2051" i="121"/>
  <c r="P2050" i="121"/>
  <c r="P2049" i="121"/>
  <c r="P2048" i="121"/>
  <c r="P2047" i="121"/>
  <c r="P2046" i="121"/>
  <c r="I2081" i="121"/>
  <c r="I2082" i="121"/>
  <c r="I2080" i="121"/>
  <c r="J2083" i="121"/>
  <c r="J2077" i="121" l="1"/>
  <c r="I2075" i="121"/>
  <c r="I2076" i="121"/>
  <c r="I2074" i="121"/>
  <c r="I2073" i="121"/>
  <c r="I2067" i="121" l="1"/>
  <c r="I2069" i="121" l="1"/>
  <c r="I2068" i="121"/>
  <c r="I2066" i="121"/>
  <c r="J2070" i="121"/>
  <c r="I2061" i="121" l="1"/>
  <c r="I2062" i="121"/>
  <c r="I2060" i="121"/>
  <c r="I2059" i="121"/>
  <c r="I2058" i="121"/>
  <c r="I2057" i="121"/>
  <c r="I2056" i="121"/>
  <c r="I2055" i="121"/>
  <c r="J2063" i="121" l="1"/>
  <c r="G119" i="149" l="1"/>
  <c r="J2052" i="121" l="1"/>
  <c r="I2051" i="121"/>
  <c r="I2050" i="121"/>
  <c r="I2049" i="121"/>
  <c r="I2048" i="121"/>
  <c r="I2047" i="121"/>
  <c r="I2046" i="121"/>
  <c r="P2039" i="121" l="1"/>
  <c r="P2038" i="121"/>
  <c r="P2037" i="121"/>
  <c r="I2042" i="121" l="1"/>
  <c r="I2041" i="121"/>
  <c r="I2040" i="121"/>
  <c r="I2039" i="121"/>
  <c r="I2038" i="121"/>
  <c r="I2037" i="121"/>
  <c r="J2043" i="121"/>
  <c r="P2029" i="121" l="1"/>
  <c r="I2033" i="121"/>
  <c r="I2032" i="121"/>
  <c r="I2031" i="121"/>
  <c r="I2030" i="121"/>
  <c r="I2029" i="121"/>
  <c r="J2034" i="121" l="1"/>
  <c r="I2006" i="121" l="1"/>
  <c r="P2022" i="121" l="1"/>
  <c r="J2026" i="121" l="1"/>
  <c r="I2025" i="121"/>
  <c r="I2024" i="121"/>
  <c r="I2022" i="121"/>
  <c r="I2023" i="121"/>
  <c r="J2019" i="121" l="1"/>
  <c r="I2018" i="121" l="1"/>
  <c r="J2015" i="121"/>
  <c r="P2013" i="121"/>
  <c r="P2012" i="121"/>
  <c r="I2014" i="121" l="1"/>
  <c r="I2013" i="121"/>
  <c r="I2012" i="121"/>
  <c r="P2008" i="121" l="1"/>
  <c r="J2009" i="121"/>
  <c r="I2007" i="121"/>
  <c r="P2007" i="121"/>
  <c r="I2008" i="121"/>
  <c r="P2006" i="121"/>
  <c r="P2002" i="121" l="1"/>
  <c r="P1998" i="121"/>
  <c r="J2003" i="121" l="1"/>
  <c r="I2002" i="121"/>
  <c r="P1997" i="121" l="1"/>
  <c r="J1999" i="121" l="1"/>
  <c r="I1998" i="121"/>
  <c r="I1997" i="121"/>
  <c r="P1989" i="121" l="1"/>
  <c r="P1987" i="121" l="1"/>
  <c r="P1986" i="121"/>
  <c r="P1985" i="121" l="1"/>
  <c r="I1991" i="121" l="1"/>
  <c r="I1992" i="121"/>
  <c r="I1990" i="121"/>
  <c r="I1989" i="121"/>
  <c r="I1988" i="121"/>
  <c r="I1987" i="121"/>
  <c r="I1986" i="121"/>
  <c r="I1985" i="121"/>
  <c r="I1984" i="121"/>
  <c r="I1983" i="121"/>
  <c r="J1993" i="121"/>
  <c r="J1980" i="121" l="1"/>
  <c r="P1977" i="121" l="1"/>
  <c r="I1979" i="121"/>
  <c r="I1978" i="121"/>
  <c r="I1977" i="121"/>
  <c r="P1972" i="121"/>
  <c r="P1973" i="121"/>
  <c r="P1971" i="121"/>
  <c r="P1964" i="121"/>
  <c r="P1965" i="121"/>
  <c r="P1966" i="121"/>
  <c r="P1967" i="121"/>
  <c r="P1963" i="121"/>
  <c r="P1959" i="121"/>
  <c r="P1953" i="121"/>
  <c r="P1954" i="121"/>
  <c r="P1955" i="121"/>
  <c r="P1952" i="121"/>
  <c r="P1942" i="121"/>
  <c r="P1943" i="121"/>
  <c r="P1944" i="121"/>
  <c r="P1945" i="121"/>
  <c r="P1946" i="121"/>
  <c r="P1947" i="121"/>
  <c r="P1948" i="121"/>
  <c r="P1941" i="121"/>
  <c r="P1937" i="121"/>
  <c r="P1936" i="121"/>
  <c r="P1930" i="121"/>
  <c r="P1931" i="121"/>
  <c r="P1932" i="121"/>
  <c r="P1929" i="121"/>
  <c r="J1974" i="121" l="1"/>
  <c r="I1972" i="121"/>
  <c r="I1973" i="121"/>
  <c r="I1971" i="121"/>
  <c r="I1967" i="121" l="1"/>
  <c r="I1965" i="121"/>
  <c r="I1966" i="121" l="1"/>
  <c r="I1964" i="121"/>
  <c r="I1963" i="121"/>
  <c r="J1968" i="121"/>
  <c r="J1960" i="121" l="1"/>
  <c r="I1959" i="121" l="1"/>
  <c r="M45" i="150"/>
  <c r="M46" i="150"/>
  <c r="M47" i="150"/>
  <c r="M48" i="150"/>
  <c r="M49" i="150"/>
  <c r="M50" i="150"/>
  <c r="M51" i="150"/>
  <c r="M52" i="150"/>
  <c r="M53" i="150"/>
  <c r="M54" i="150"/>
  <c r="M55" i="150"/>
  <c r="M56" i="150"/>
  <c r="M57" i="150"/>
  <c r="M58" i="150"/>
  <c r="M59" i="150"/>
  <c r="M60" i="150"/>
  <c r="M61" i="150"/>
  <c r="M62" i="150"/>
  <c r="M63" i="150"/>
  <c r="D114" i="149" l="1"/>
  <c r="I1955" i="121"/>
  <c r="I1954" i="121"/>
  <c r="I1953" i="121"/>
  <c r="I1952" i="121"/>
  <c r="J1956" i="121"/>
  <c r="J1949" i="121" l="1"/>
  <c r="B3" i="1" l="1"/>
  <c r="G3" i="1" s="1"/>
  <c r="B4" i="1" s="1"/>
  <c r="G4" i="1" s="1"/>
  <c r="B5" i="1" s="1"/>
  <c r="G5" i="1" s="1"/>
  <c r="B6" i="1" s="1"/>
  <c r="G6" i="1" s="1"/>
  <c r="B7" i="1" s="1"/>
  <c r="G7" i="1" s="1"/>
  <c r="B8" i="1" s="1"/>
  <c r="G8" i="1" s="1"/>
  <c r="B9" i="1" s="1"/>
  <c r="G9" i="1" s="1"/>
  <c r="B10" i="1" s="1"/>
  <c r="G10" i="1" s="1"/>
  <c r="B11" i="1" s="1"/>
  <c r="G11" i="1" s="1"/>
  <c r="B12" i="1" s="1"/>
  <c r="G12" i="1" s="1"/>
  <c r="B13" i="1" s="1"/>
  <c r="G13" i="1" s="1"/>
  <c r="B14" i="1" s="1"/>
  <c r="G14" i="1" s="1"/>
  <c r="B15" i="1" s="1"/>
  <c r="G15" i="1" s="1"/>
  <c r="B16" i="1" s="1"/>
  <c r="G16" i="1" s="1"/>
  <c r="B17" i="1" s="1"/>
  <c r="G17" i="1" s="1"/>
  <c r="B18" i="1" s="1"/>
  <c r="G18" i="1" s="1"/>
  <c r="B19" i="1" s="1"/>
  <c r="G19" i="1" s="1"/>
  <c r="B20" i="1" s="1"/>
  <c r="G20" i="1" s="1"/>
  <c r="B21" i="1" s="1"/>
  <c r="G21" i="1" s="1"/>
  <c r="B22" i="1" s="1"/>
  <c r="G22" i="1" s="1"/>
  <c r="B23" i="1" s="1"/>
  <c r="G23" i="1" s="1"/>
  <c r="B24" i="1" s="1"/>
  <c r="G24" i="1" s="1"/>
  <c r="B25" i="1" s="1"/>
  <c r="G25" i="1" s="1"/>
  <c r="B26" i="1" s="1"/>
  <c r="G26" i="1" s="1"/>
  <c r="B27" i="1" s="1"/>
  <c r="G27" i="1" s="1"/>
  <c r="B28" i="1" s="1"/>
  <c r="G28" i="1" s="1"/>
  <c r="B29" i="1" s="1"/>
  <c r="G29" i="1" s="1"/>
  <c r="B30" i="1" s="1"/>
  <c r="G30" i="1" s="1"/>
  <c r="B31" i="1" s="1"/>
  <c r="G31" i="1" s="1"/>
  <c r="B32" i="1" s="1"/>
  <c r="G32" i="1" s="1"/>
  <c r="B33" i="1" s="1"/>
  <c r="G33" i="1" s="1"/>
  <c r="B34" i="1" s="1"/>
  <c r="G34" i="1" s="1"/>
  <c r="B35" i="1" s="1"/>
  <c r="G35" i="1" s="1"/>
  <c r="B36" i="1" s="1"/>
  <c r="G36" i="1" s="1"/>
  <c r="B37" i="1" s="1"/>
  <c r="G37" i="1" s="1"/>
  <c r="B38" i="1" s="1"/>
  <c r="G38" i="1" s="1"/>
  <c r="B39" i="1" s="1"/>
  <c r="G39" i="1" s="1"/>
  <c r="B40" i="1" s="1"/>
  <c r="G40" i="1" s="1"/>
  <c r="B41" i="1" s="1"/>
  <c r="G41" i="1" s="1"/>
  <c r="B42" i="1" s="1"/>
  <c r="G42" i="1" s="1"/>
  <c r="B43" i="1" s="1"/>
  <c r="G43" i="1" s="1"/>
  <c r="B44" i="1" s="1"/>
  <c r="G44" i="1" s="1"/>
  <c r="B45" i="1" s="1"/>
  <c r="G45" i="1" s="1"/>
  <c r="B46" i="1" s="1"/>
  <c r="G46" i="1" s="1"/>
  <c r="B47" i="1" s="1"/>
  <c r="G47" i="1" s="1"/>
  <c r="B48" i="1" s="1"/>
  <c r="G48" i="1" s="1"/>
  <c r="B49" i="1" s="1"/>
  <c r="G49" i="1" s="1"/>
  <c r="B50" i="1" s="1"/>
  <c r="G50" i="1" s="1"/>
  <c r="B51" i="1" s="1"/>
  <c r="G51" i="1" s="1"/>
  <c r="B52" i="1" s="1"/>
  <c r="G52" i="1" s="1"/>
  <c r="B53" i="1" s="1"/>
  <c r="G53" i="1" s="1"/>
  <c r="B54" i="1" s="1"/>
  <c r="G54" i="1" s="1"/>
  <c r="B55" i="1" s="1"/>
  <c r="G55" i="1" s="1"/>
  <c r="B56" i="1" s="1"/>
  <c r="G56" i="1" s="1"/>
  <c r="B57" i="1" s="1"/>
  <c r="G57" i="1" s="1"/>
  <c r="B58" i="1" s="1"/>
  <c r="G58" i="1" s="1"/>
  <c r="B59" i="1" s="1"/>
  <c r="G59" i="1" s="1"/>
  <c r="B60" i="1" s="1"/>
  <c r="G60" i="1" s="1"/>
  <c r="B61" i="1" s="1"/>
  <c r="G61" i="1" s="1"/>
  <c r="I1948" i="121"/>
  <c r="I1942" i="121"/>
  <c r="I1943" i="121"/>
  <c r="I1944" i="121"/>
  <c r="I1945" i="121"/>
  <c r="I1946" i="121"/>
  <c r="I1947" i="121"/>
  <c r="I1941" i="121"/>
  <c r="J1938" i="121"/>
  <c r="I1937" i="121"/>
  <c r="I1936" i="121"/>
  <c r="J1933" i="121" l="1"/>
  <c r="I1930" i="121"/>
  <c r="I1931" i="121"/>
  <c r="I1932" i="121"/>
  <c r="I1929" i="121"/>
  <c r="J1926" i="121" l="1"/>
  <c r="P1921" i="121"/>
  <c r="P1922" i="121"/>
  <c r="P1923" i="121"/>
  <c r="P1924" i="121"/>
  <c r="P1925" i="121"/>
  <c r="I1921" i="121"/>
  <c r="I1922" i="121"/>
  <c r="I1923" i="121"/>
  <c r="I1924" i="121"/>
  <c r="I1925" i="121"/>
  <c r="P1920" i="121"/>
  <c r="I1920" i="121"/>
  <c r="J1917" i="121" l="1"/>
  <c r="P1916" i="121"/>
  <c r="I1916" i="121"/>
  <c r="P1915" i="121"/>
  <c r="I1915" i="121"/>
  <c r="J1912" i="121" l="1"/>
  <c r="P1911" i="121" l="1"/>
  <c r="P1910" i="121"/>
  <c r="I1911" i="121"/>
  <c r="I1910" i="121"/>
  <c r="J1907" i="121" l="1"/>
  <c r="P1899" i="121"/>
  <c r="P1900" i="121"/>
  <c r="P1901" i="121"/>
  <c r="P1902" i="121"/>
  <c r="P1903" i="121"/>
  <c r="P1904" i="121"/>
  <c r="P1905" i="121"/>
  <c r="P1906" i="121"/>
  <c r="P1898" i="121"/>
  <c r="I1899" i="121"/>
  <c r="I1900" i="121"/>
  <c r="I1901" i="121"/>
  <c r="I1902" i="121"/>
  <c r="I1903" i="121"/>
  <c r="I1904" i="121"/>
  <c r="I1905" i="121"/>
  <c r="I1906" i="121"/>
  <c r="I1898" i="121"/>
  <c r="J1895" i="121" l="1"/>
  <c r="P1893" i="121"/>
  <c r="P1894" i="121"/>
  <c r="P1892" i="121"/>
  <c r="I1893" i="121"/>
  <c r="I1894" i="121"/>
  <c r="I1892" i="121"/>
  <c r="J1889" i="121" l="1"/>
  <c r="P1872" i="121"/>
  <c r="P1873" i="121"/>
  <c r="P1874" i="121"/>
  <c r="P1875" i="121"/>
  <c r="P1876" i="121"/>
  <c r="P1877" i="121"/>
  <c r="P1878" i="121"/>
  <c r="P1879" i="121"/>
  <c r="P1880" i="121"/>
  <c r="P1881" i="121"/>
  <c r="P1882" i="121"/>
  <c r="P1883" i="121"/>
  <c r="P1884" i="121"/>
  <c r="P1885" i="121"/>
  <c r="P1886" i="121"/>
  <c r="P1887" i="121"/>
  <c r="P1888" i="121"/>
  <c r="P1871" i="121"/>
  <c r="I1872" i="121"/>
  <c r="I1873" i="121"/>
  <c r="I1874" i="121"/>
  <c r="I1875" i="121"/>
  <c r="I1876" i="121"/>
  <c r="I1877" i="121"/>
  <c r="I1878" i="121"/>
  <c r="I1879" i="121"/>
  <c r="I1880" i="121"/>
  <c r="I1881" i="121"/>
  <c r="I1882" i="121"/>
  <c r="I1883" i="121"/>
  <c r="I1884" i="121"/>
  <c r="I1885" i="121"/>
  <c r="I1886" i="121"/>
  <c r="I1887" i="121"/>
  <c r="I1888" i="121"/>
  <c r="I1871" i="121"/>
  <c r="J1868" i="121" l="1"/>
  <c r="P1865" i="121"/>
  <c r="P1866" i="121"/>
  <c r="P1867" i="121"/>
  <c r="P1864" i="121"/>
  <c r="I1865" i="121"/>
  <c r="I1866" i="121"/>
  <c r="I1867" i="121"/>
  <c r="I1864" i="121"/>
  <c r="P1860" i="121" l="1"/>
  <c r="P1859" i="121"/>
  <c r="P1857" i="121"/>
  <c r="P1858" i="121"/>
  <c r="J1861" i="121"/>
  <c r="I1859" i="121"/>
  <c r="I1860" i="121"/>
  <c r="I1858" i="121"/>
  <c r="I1857" i="121"/>
  <c r="P1856" i="121"/>
  <c r="I1856" i="121"/>
  <c r="J1853" i="121"/>
  <c r="P1847" i="121"/>
  <c r="P1848" i="121"/>
  <c r="P1849" i="121"/>
  <c r="P1850" i="121"/>
  <c r="P1851" i="121"/>
  <c r="P1852" i="121"/>
  <c r="P1846" i="121"/>
  <c r="I1847" i="121"/>
  <c r="I1848" i="121"/>
  <c r="I1849" i="121"/>
  <c r="I1850" i="121"/>
  <c r="I1851" i="121"/>
  <c r="I1852" i="121"/>
  <c r="I1846" i="121"/>
  <c r="I1839" i="121" l="1"/>
  <c r="I1840" i="121"/>
  <c r="I1841" i="121"/>
  <c r="I1842" i="121"/>
  <c r="P1839" i="121"/>
  <c r="P1840" i="121"/>
  <c r="P1841" i="121"/>
  <c r="P1842" i="121"/>
  <c r="P1838" i="121"/>
  <c r="J1843" i="121"/>
  <c r="I1838" i="121"/>
  <c r="J1835" i="121" l="1"/>
  <c r="P1823" i="121"/>
  <c r="P1824" i="121"/>
  <c r="P1825" i="121"/>
  <c r="P1826" i="121"/>
  <c r="P1827" i="121"/>
  <c r="P1828" i="121"/>
  <c r="P1829" i="121"/>
  <c r="P1830" i="121"/>
  <c r="P1831" i="121"/>
  <c r="P1832" i="121"/>
  <c r="P1833" i="121"/>
  <c r="P1834" i="121"/>
  <c r="P1822" i="121"/>
  <c r="I1823" i="121"/>
  <c r="I1824" i="121"/>
  <c r="I1825" i="121"/>
  <c r="I1826" i="121"/>
  <c r="I1827" i="121"/>
  <c r="I1828" i="121"/>
  <c r="I1829" i="121"/>
  <c r="I1830" i="121"/>
  <c r="I1831" i="121"/>
  <c r="I1832" i="121"/>
  <c r="I1833" i="121"/>
  <c r="I1834" i="121"/>
  <c r="I1822" i="121"/>
  <c r="J1819" i="121" l="1"/>
  <c r="P1816" i="121"/>
  <c r="P1817" i="121"/>
  <c r="P1818" i="121"/>
  <c r="P1815" i="121"/>
  <c r="I1816" i="121"/>
  <c r="I1817" i="121"/>
  <c r="I1818" i="121"/>
  <c r="I1815" i="121"/>
  <c r="J1812" i="121" l="1"/>
  <c r="P1809" i="121"/>
  <c r="P1810" i="121"/>
  <c r="P1811" i="121"/>
  <c r="P1808" i="121"/>
  <c r="I1809" i="121"/>
  <c r="I1810" i="121"/>
  <c r="I1811" i="121"/>
  <c r="I1808" i="121"/>
  <c r="J1805" i="121" l="1"/>
  <c r="P1804" i="121"/>
  <c r="I1804" i="121"/>
  <c r="J1801" i="121" l="1"/>
  <c r="P1800" i="121"/>
  <c r="P1799" i="121"/>
  <c r="I1800" i="121"/>
  <c r="I1799" i="121"/>
  <c r="J1796" i="121" l="1"/>
  <c r="P1795" i="121"/>
  <c r="P1794" i="121"/>
  <c r="P1793" i="121"/>
  <c r="I1794" i="121"/>
  <c r="I1795" i="121"/>
  <c r="I1793" i="121"/>
  <c r="P1784" i="121" l="1"/>
  <c r="J1790" i="121"/>
  <c r="P1788" i="121"/>
  <c r="P1789" i="121"/>
  <c r="I1788" i="121"/>
  <c r="I1789" i="121"/>
  <c r="P1787" i="121"/>
  <c r="I1787" i="121"/>
  <c r="J1785" i="121" l="1"/>
  <c r="I1784" i="121"/>
  <c r="P1783" i="121"/>
  <c r="I1783" i="121"/>
  <c r="J1780" i="121" l="1"/>
  <c r="P1777" i="121"/>
  <c r="P1778" i="121"/>
  <c r="P1779" i="121"/>
  <c r="I1777" i="121"/>
  <c r="I1778" i="121"/>
  <c r="I1779" i="121"/>
  <c r="P1776" i="121"/>
  <c r="I1776" i="121"/>
  <c r="J1773" i="121" l="1"/>
  <c r="P1772" i="121"/>
  <c r="I1772" i="121"/>
  <c r="P1768" i="121" l="1"/>
  <c r="P1767" i="121"/>
  <c r="J1769" i="121"/>
  <c r="I1768" i="121"/>
  <c r="I1767" i="121"/>
  <c r="J1764" i="121" l="1"/>
  <c r="P1763" i="121"/>
  <c r="I1763" i="121"/>
  <c r="J1760" i="121" l="1"/>
  <c r="P1756" i="121"/>
  <c r="P1757" i="121"/>
  <c r="P1758" i="121"/>
  <c r="P1759" i="121"/>
  <c r="P1755" i="121"/>
  <c r="I1756" i="121"/>
  <c r="I1757" i="121"/>
  <c r="I1758" i="121"/>
  <c r="I1759" i="121"/>
  <c r="I1755" i="121"/>
  <c r="J1752" i="121" l="1"/>
  <c r="P1747" i="121"/>
  <c r="P1748" i="121"/>
  <c r="P1749" i="121"/>
  <c r="P1750" i="121"/>
  <c r="P1751" i="121"/>
  <c r="P1746" i="121"/>
  <c r="I1747" i="121"/>
  <c r="I1748" i="121"/>
  <c r="I1749" i="121"/>
  <c r="I1750" i="121"/>
  <c r="I1751" i="121"/>
  <c r="I1746" i="121"/>
  <c r="I1741" i="121"/>
  <c r="I1742" i="121"/>
  <c r="P1741" i="121"/>
  <c r="P1742" i="121"/>
  <c r="J1743" i="121" l="1"/>
  <c r="P1740" i="121"/>
  <c r="I1740" i="121"/>
  <c r="J1737" i="121" l="1"/>
  <c r="P1730" i="121"/>
  <c r="P1731" i="121"/>
  <c r="P1732" i="121"/>
  <c r="P1733" i="121"/>
  <c r="P1734" i="121"/>
  <c r="P1735" i="121"/>
  <c r="P1736" i="121"/>
  <c r="P1729" i="121"/>
  <c r="I1730" i="121"/>
  <c r="I1731" i="121"/>
  <c r="I1732" i="121"/>
  <c r="I1733" i="121"/>
  <c r="I1734" i="121"/>
  <c r="I1735" i="121"/>
  <c r="I1736" i="121"/>
  <c r="I1729" i="121"/>
  <c r="J1726" i="121" l="1"/>
  <c r="P1724" i="121"/>
  <c r="P1725" i="121"/>
  <c r="P1723" i="121"/>
  <c r="I1724" i="121"/>
  <c r="I1725" i="121"/>
  <c r="I1723" i="121"/>
  <c r="J1720" i="121" l="1"/>
  <c r="P1711" i="121"/>
  <c r="P1712" i="121"/>
  <c r="P1713" i="121"/>
  <c r="P1714" i="121"/>
  <c r="P1715" i="121"/>
  <c r="P1716" i="121"/>
  <c r="P1717" i="121"/>
  <c r="P1718" i="121"/>
  <c r="P1719" i="121"/>
  <c r="I1712" i="121"/>
  <c r="I1713" i="121"/>
  <c r="I1714" i="121"/>
  <c r="I1715" i="121"/>
  <c r="I1716" i="121"/>
  <c r="I1717" i="121"/>
  <c r="I1718" i="121"/>
  <c r="I1719" i="121"/>
  <c r="I1711" i="121"/>
  <c r="J1708" i="121" l="1"/>
  <c r="P1704" i="121"/>
  <c r="P1705" i="121"/>
  <c r="P1706" i="121"/>
  <c r="P1707" i="121"/>
  <c r="I1704" i="121"/>
  <c r="I1705" i="121"/>
  <c r="I1706" i="121"/>
  <c r="I1707" i="121"/>
  <c r="P1703" i="121"/>
  <c r="I1703" i="121"/>
  <c r="J1700" i="121" l="1"/>
  <c r="P1697" i="121"/>
  <c r="P1698" i="121"/>
  <c r="P1699" i="121"/>
  <c r="I1697" i="121"/>
  <c r="I1698" i="121"/>
  <c r="I1699" i="121"/>
  <c r="P1696" i="121"/>
  <c r="I1696" i="121"/>
  <c r="J1693" i="121" l="1"/>
  <c r="P1692" i="121"/>
  <c r="I1692" i="121"/>
  <c r="P1691" i="121"/>
  <c r="I1691" i="121"/>
  <c r="J1688" i="121" l="1"/>
  <c r="I1686" i="121"/>
  <c r="I1687" i="121"/>
  <c r="P1686" i="121"/>
  <c r="P1687" i="121"/>
  <c r="P1685" i="121"/>
  <c r="I1685" i="121"/>
  <c r="J1682" i="121" l="1"/>
  <c r="P1680" i="121"/>
  <c r="P1681" i="121"/>
  <c r="I1680" i="121"/>
  <c r="I1681" i="121"/>
  <c r="P1679" i="121"/>
  <c r="I1679" i="121"/>
  <c r="J1676" i="121" l="1"/>
  <c r="P1666" i="121"/>
  <c r="P1667" i="121"/>
  <c r="P1668" i="121"/>
  <c r="P1669" i="121"/>
  <c r="P1670" i="121"/>
  <c r="P1671" i="121"/>
  <c r="P1672" i="121"/>
  <c r="P1673" i="121"/>
  <c r="P1674" i="121"/>
  <c r="P1675" i="121"/>
  <c r="I1666" i="121"/>
  <c r="I1667" i="121"/>
  <c r="I1668" i="121"/>
  <c r="I1669" i="121"/>
  <c r="I1670" i="121"/>
  <c r="I1671" i="121"/>
  <c r="I1672" i="121"/>
  <c r="I1673" i="121"/>
  <c r="I1674" i="121"/>
  <c r="I1675" i="121"/>
  <c r="P1665" i="121"/>
  <c r="I1665" i="121"/>
  <c r="J1662" i="121" l="1"/>
  <c r="P1661" i="121"/>
  <c r="P1660" i="121"/>
  <c r="I1661" i="121"/>
  <c r="I1660" i="121"/>
  <c r="J1657" i="121" l="1"/>
  <c r="P1656" i="121"/>
  <c r="I1656" i="121"/>
  <c r="P1643" i="121" l="1"/>
  <c r="P1644" i="121"/>
  <c r="P1645" i="121"/>
  <c r="P1646" i="121"/>
  <c r="P1647" i="121"/>
  <c r="P1648" i="121"/>
  <c r="P1649" i="121"/>
  <c r="P1650" i="121"/>
  <c r="P1651" i="121"/>
  <c r="P1652" i="121"/>
  <c r="P1642" i="121"/>
  <c r="I1643" i="121"/>
  <c r="I1644" i="121"/>
  <c r="I1645" i="121"/>
  <c r="I1646" i="121"/>
  <c r="I1647" i="121"/>
  <c r="I1648" i="121"/>
  <c r="I1649" i="121"/>
  <c r="I1650" i="121"/>
  <c r="I1651" i="121"/>
  <c r="I1652" i="121"/>
  <c r="J1653" i="121"/>
  <c r="I1642" i="121"/>
  <c r="P1637" i="121" l="1"/>
  <c r="P1638" i="121"/>
  <c r="P1636" i="121"/>
  <c r="J1639" i="121"/>
  <c r="I1637" i="121"/>
  <c r="I1638" i="121"/>
  <c r="I1636" i="121"/>
  <c r="P1623" i="121" l="1"/>
  <c r="P1624" i="121"/>
  <c r="P1625" i="121"/>
  <c r="P1626" i="121"/>
  <c r="P1627" i="121"/>
  <c r="P1628" i="121"/>
  <c r="P1629" i="121"/>
  <c r="P1630" i="121"/>
  <c r="P1631" i="121"/>
  <c r="P1632" i="121"/>
  <c r="I1623" i="121"/>
  <c r="I1624" i="121"/>
  <c r="I1625" i="121"/>
  <c r="I1626" i="121"/>
  <c r="I1627" i="121"/>
  <c r="I1628" i="121"/>
  <c r="I1629" i="121"/>
  <c r="I1630" i="121"/>
  <c r="I1631" i="121"/>
  <c r="I1632" i="121"/>
  <c r="J1633" i="121"/>
  <c r="P1622" i="121"/>
  <c r="I1622" i="121"/>
  <c r="J1619" i="121" l="1"/>
  <c r="P1614" i="121"/>
  <c r="P1615" i="121"/>
  <c r="P1616" i="121"/>
  <c r="P1617" i="121"/>
  <c r="P1618" i="121"/>
  <c r="P1613" i="121"/>
  <c r="I1614" i="121"/>
  <c r="I1615" i="121"/>
  <c r="I1616" i="121"/>
  <c r="I1617" i="121"/>
  <c r="I1618" i="121"/>
  <c r="I1613" i="121"/>
  <c r="J1610" i="121" l="1"/>
  <c r="P1608" i="121"/>
  <c r="P1609" i="121"/>
  <c r="I1608" i="121"/>
  <c r="I1609" i="121"/>
  <c r="P1607" i="121"/>
  <c r="I1607" i="121"/>
  <c r="J1604" i="121" l="1"/>
  <c r="P1597" i="121"/>
  <c r="P1598" i="121"/>
  <c r="P1600" i="121"/>
  <c r="P1601" i="121"/>
  <c r="P1602" i="121"/>
  <c r="P1603" i="121"/>
  <c r="I1597" i="121"/>
  <c r="I1598" i="121"/>
  <c r="I1599" i="121"/>
  <c r="I1600" i="121"/>
  <c r="I1601" i="121"/>
  <c r="I1602" i="121"/>
  <c r="I1603" i="121"/>
  <c r="P1596" i="121"/>
  <c r="I1596" i="121"/>
  <c r="J1593" i="121" l="1"/>
  <c r="P1588" i="121"/>
  <c r="P1589" i="121"/>
  <c r="P1590" i="121"/>
  <c r="P1591" i="121"/>
  <c r="P1592" i="121"/>
  <c r="I1588" i="121"/>
  <c r="I1589" i="121"/>
  <c r="I1590" i="121"/>
  <c r="I1591" i="121"/>
  <c r="I1592" i="121"/>
  <c r="P1587" i="121"/>
  <c r="I1587" i="121"/>
  <c r="H43" i="150" l="1"/>
  <c r="F43" i="150"/>
  <c r="H64" i="150" l="1"/>
  <c r="J1584" i="121"/>
  <c r="P1580" i="121"/>
  <c r="P1583" i="121"/>
  <c r="P1582" i="121"/>
  <c r="P1581" i="121"/>
  <c r="P1579" i="121"/>
  <c r="P1578" i="121"/>
  <c r="P1576" i="121"/>
  <c r="I1583" i="121" l="1"/>
  <c r="I1582" i="121"/>
  <c r="I1579" i="121"/>
  <c r="I1580" i="121"/>
  <c r="I1581" i="121"/>
  <c r="I1577" i="121"/>
  <c r="I1578" i="121"/>
  <c r="I1576" i="121"/>
  <c r="P1572" i="121" l="1"/>
  <c r="P1571" i="121"/>
  <c r="J1573" i="121" l="1"/>
  <c r="I1572" i="121"/>
  <c r="I1571" i="121"/>
  <c r="P1561" i="121" l="1"/>
  <c r="P1562" i="121"/>
  <c r="P1563" i="121"/>
  <c r="P1564" i="121"/>
  <c r="P1565" i="121"/>
  <c r="P1566" i="121"/>
  <c r="P1567" i="121"/>
  <c r="I1561" i="121"/>
  <c r="I1562" i="121"/>
  <c r="I1563" i="121"/>
  <c r="I1564" i="121"/>
  <c r="I1565" i="121"/>
  <c r="I1566" i="121"/>
  <c r="I1567" i="121"/>
  <c r="J1568" i="121"/>
  <c r="P1560" i="121"/>
  <c r="I1560" i="121"/>
  <c r="J1557" i="121" l="1"/>
  <c r="P1556" i="121" l="1"/>
  <c r="I1556" i="121"/>
  <c r="J1553" i="121" l="1"/>
  <c r="P1552" i="121"/>
  <c r="I1552" i="121"/>
  <c r="I1544" i="121" l="1"/>
  <c r="I1545" i="121"/>
  <c r="I1546" i="121"/>
  <c r="I1547" i="121"/>
  <c r="I1548" i="121"/>
  <c r="P1544" i="121"/>
  <c r="P1545" i="121"/>
  <c r="P1546" i="121"/>
  <c r="P1547" i="121"/>
  <c r="P1548" i="121"/>
  <c r="J1549" i="121"/>
  <c r="P1543" i="121"/>
  <c r="I1543" i="121"/>
  <c r="J1540" i="121" l="1"/>
  <c r="P1536" i="121"/>
  <c r="P1537" i="121"/>
  <c r="P1538" i="121"/>
  <c r="P1539" i="121"/>
  <c r="I1536" i="121"/>
  <c r="I1537" i="121"/>
  <c r="I1538" i="121"/>
  <c r="I1539" i="121"/>
  <c r="P1535" i="121"/>
  <c r="I1535" i="121"/>
  <c r="J1532" i="121" l="1"/>
  <c r="P1526" i="121"/>
  <c r="P1527" i="121"/>
  <c r="P1528" i="121"/>
  <c r="P1529" i="121"/>
  <c r="P1530" i="121"/>
  <c r="P1531" i="121"/>
  <c r="I1526" i="121"/>
  <c r="I1527" i="121"/>
  <c r="I1528" i="121"/>
  <c r="I1529" i="121"/>
  <c r="I1530" i="121"/>
  <c r="I1531" i="121"/>
  <c r="P1525" i="121"/>
  <c r="I1525" i="121"/>
  <c r="P1518" i="121" l="1"/>
  <c r="P1519" i="121"/>
  <c r="P1520" i="121"/>
  <c r="P1521" i="121"/>
  <c r="P1517" i="121"/>
  <c r="P1512" i="121"/>
  <c r="P1513" i="121"/>
  <c r="J1522" i="121"/>
  <c r="I1518" i="121"/>
  <c r="I1519" i="121"/>
  <c r="I1520" i="121"/>
  <c r="I1521" i="121"/>
  <c r="I1517" i="121"/>
  <c r="P1511" i="121" l="1"/>
  <c r="P1510" i="121"/>
  <c r="P1509" i="121"/>
  <c r="J1514" i="121"/>
  <c r="I1510" i="121"/>
  <c r="I1511" i="121"/>
  <c r="I1512" i="121"/>
  <c r="I1513" i="121"/>
  <c r="I1509" i="121"/>
  <c r="J1506" i="121" l="1"/>
  <c r="P1502" i="121"/>
  <c r="P1503" i="121"/>
  <c r="P1504" i="121"/>
  <c r="P1505" i="121"/>
  <c r="P1501" i="121"/>
  <c r="I1502" i="121"/>
  <c r="I1503" i="121"/>
  <c r="I1504" i="121"/>
  <c r="I1505" i="121"/>
  <c r="I1501" i="121"/>
  <c r="J1498" i="121" l="1"/>
  <c r="P1492" i="121"/>
  <c r="P1493" i="121"/>
  <c r="P1494" i="121"/>
  <c r="P1495" i="121"/>
  <c r="P1496" i="121"/>
  <c r="P1497" i="121"/>
  <c r="I1492" i="121"/>
  <c r="I1493" i="121"/>
  <c r="I1494" i="121"/>
  <c r="I1495" i="121"/>
  <c r="I1496" i="121"/>
  <c r="I1497" i="121"/>
  <c r="P1491" i="121"/>
  <c r="I1491" i="121"/>
  <c r="J1488" i="121" l="1"/>
  <c r="P1484" i="121"/>
  <c r="P1485" i="121"/>
  <c r="P1486" i="121"/>
  <c r="P1487" i="121"/>
  <c r="P1483" i="121"/>
  <c r="I1484" i="121"/>
  <c r="I1485" i="121"/>
  <c r="I1486" i="121"/>
  <c r="I1487" i="121"/>
  <c r="I1483" i="121"/>
  <c r="P1477" i="121" l="1"/>
  <c r="P1478" i="121"/>
  <c r="P1479" i="121"/>
  <c r="P1476" i="121"/>
  <c r="J1480" i="121"/>
  <c r="I1477" i="121"/>
  <c r="I1478" i="121"/>
  <c r="I1479" i="121"/>
  <c r="I1476" i="121"/>
  <c r="J1473" i="121" l="1"/>
  <c r="P1472" i="121"/>
  <c r="P1471" i="121"/>
  <c r="I1472" i="121"/>
  <c r="I1471" i="121"/>
  <c r="J1468" i="121" l="1"/>
  <c r="P1459" i="121" l="1"/>
  <c r="P1460" i="121"/>
  <c r="P1461" i="121"/>
  <c r="P1462" i="121"/>
  <c r="P1463" i="121"/>
  <c r="P1464" i="121"/>
  <c r="P1465" i="121"/>
  <c r="P1466" i="121"/>
  <c r="P1467" i="121"/>
  <c r="P1458" i="121"/>
  <c r="I1459" i="121"/>
  <c r="I1460" i="121"/>
  <c r="I1461" i="121"/>
  <c r="I1462" i="121"/>
  <c r="I1463" i="121"/>
  <c r="I1464" i="121"/>
  <c r="I1465" i="121"/>
  <c r="I1466" i="121"/>
  <c r="I1467" i="121"/>
  <c r="I1458" i="121"/>
  <c r="J1455" i="121" l="1"/>
  <c r="P1454" i="121"/>
  <c r="I1454" i="121"/>
  <c r="J1451" i="121" l="1"/>
  <c r="P1449" i="121"/>
  <c r="P1450" i="121"/>
  <c r="I1449" i="121"/>
  <c r="I1450" i="121"/>
  <c r="P1448" i="121"/>
  <c r="P1441" i="121"/>
  <c r="P1442" i="121"/>
  <c r="P1443" i="121"/>
  <c r="P1444" i="121"/>
  <c r="I1448" i="121"/>
  <c r="J1445" i="121" l="1"/>
  <c r="I1442" i="121"/>
  <c r="I1443" i="121"/>
  <c r="I1444" i="121"/>
  <c r="I1441" i="121"/>
  <c r="P1440" i="121"/>
  <c r="I1440" i="121"/>
  <c r="J1437" i="121" l="1"/>
  <c r="P1436" i="121"/>
  <c r="P1435" i="121"/>
  <c r="P1434" i="121"/>
  <c r="I1434" i="121"/>
  <c r="I1435" i="121"/>
  <c r="I1436" i="121"/>
  <c r="P1433" i="121"/>
  <c r="P1432" i="121"/>
  <c r="P1431" i="121"/>
  <c r="P1430" i="121"/>
  <c r="P1429" i="121"/>
  <c r="P1428" i="121"/>
  <c r="P1427" i="121"/>
  <c r="P1426" i="121"/>
  <c r="P1425" i="121"/>
  <c r="I1425" i="121"/>
  <c r="I1426" i="121"/>
  <c r="I1427" i="121"/>
  <c r="I1428" i="121"/>
  <c r="I1429" i="121"/>
  <c r="I1430" i="121"/>
  <c r="I1431" i="121"/>
  <c r="I1432" i="121"/>
  <c r="I1433" i="121"/>
  <c r="P1424" i="121"/>
  <c r="I1424" i="121" l="1"/>
  <c r="P1418" i="121" l="1"/>
  <c r="P1419" i="121"/>
  <c r="P1420" i="121"/>
  <c r="P1417" i="121"/>
  <c r="J1421" i="121"/>
  <c r="I1418" i="121"/>
  <c r="I1419" i="121"/>
  <c r="I1420" i="121"/>
  <c r="I1417" i="121"/>
  <c r="J1414" i="121" l="1"/>
  <c r="P1412" i="121"/>
  <c r="P1413" i="121"/>
  <c r="P1411" i="121"/>
  <c r="I1412" i="121"/>
  <c r="I1413" i="121"/>
  <c r="I1411" i="121"/>
  <c r="J1408" i="121" l="1"/>
  <c r="P1404" i="121"/>
  <c r="P1405" i="121"/>
  <c r="P1406" i="121"/>
  <c r="P1407" i="121"/>
  <c r="I1404" i="121"/>
  <c r="I1405" i="121"/>
  <c r="I1406" i="121"/>
  <c r="I1407" i="121"/>
  <c r="P1403" i="121"/>
  <c r="I1403" i="121"/>
  <c r="P1399" i="121" l="1"/>
  <c r="J1400" i="121" l="1"/>
  <c r="I1399" i="121"/>
  <c r="J1396" i="121" l="1"/>
  <c r="P1395" i="121"/>
  <c r="I1395" i="121"/>
  <c r="P1394" i="121"/>
  <c r="I1394" i="121"/>
  <c r="P1388" i="121"/>
  <c r="P1390" i="121" l="1"/>
  <c r="P1389" i="121"/>
  <c r="J1391" i="121" l="1"/>
  <c r="I1389" i="121"/>
  <c r="I1390" i="121"/>
  <c r="I1388" i="121"/>
  <c r="J1385" i="121" l="1"/>
  <c r="I1383" i="121"/>
  <c r="I1384" i="121"/>
  <c r="I1382" i="121"/>
  <c r="I1381" i="121"/>
  <c r="I1380" i="121"/>
  <c r="I1379" i="121"/>
  <c r="J1376" i="121" l="1"/>
  <c r="P1373" i="121"/>
  <c r="P1374" i="121"/>
  <c r="P1375" i="121"/>
  <c r="I1373" i="121"/>
  <c r="I1374" i="121"/>
  <c r="I1375" i="121"/>
  <c r="P1372" i="121"/>
  <c r="I1372" i="121"/>
  <c r="P1363" i="121" l="1"/>
  <c r="P1364" i="121"/>
  <c r="P1365" i="121"/>
  <c r="P1366" i="121"/>
  <c r="P1367" i="121"/>
  <c r="P1368" i="121"/>
  <c r="P1362" i="121"/>
  <c r="J1369" i="121"/>
  <c r="I1363" i="121"/>
  <c r="I1364" i="121"/>
  <c r="I1365" i="121"/>
  <c r="I1366" i="121"/>
  <c r="I1367" i="121"/>
  <c r="I1368" i="121"/>
  <c r="I1362" i="121"/>
  <c r="P1355" i="121" l="1"/>
  <c r="P1356" i="121"/>
  <c r="P1357" i="121"/>
  <c r="P1358" i="121"/>
  <c r="P1354" i="121"/>
  <c r="J1359" i="121" l="1"/>
  <c r="I1355" i="121"/>
  <c r="I1356" i="121"/>
  <c r="I1357" i="121"/>
  <c r="I1358" i="121"/>
  <c r="I1354" i="121"/>
  <c r="P1348" i="121" l="1"/>
  <c r="P1349" i="121"/>
  <c r="P1350" i="121"/>
  <c r="P1347" i="121"/>
  <c r="J1351" i="121"/>
  <c r="I1348" i="121"/>
  <c r="I1349" i="121"/>
  <c r="I1350" i="121"/>
  <c r="I1347" i="121"/>
  <c r="P1340" i="121" l="1"/>
  <c r="P1341" i="121"/>
  <c r="P1342" i="121"/>
  <c r="P1343" i="121"/>
  <c r="P1339" i="121"/>
  <c r="J1344" i="121" l="1"/>
  <c r="I1340" i="121"/>
  <c r="I1341" i="121"/>
  <c r="I1342" i="121"/>
  <c r="I1343" i="121"/>
  <c r="I1339" i="121"/>
  <c r="P1335" i="121" l="1"/>
  <c r="P1334" i="121"/>
  <c r="J1336" i="121" l="1"/>
  <c r="I1335" i="121"/>
  <c r="I1334" i="121"/>
  <c r="P1330" i="121" l="1"/>
  <c r="J1331" i="121" l="1"/>
  <c r="I1330" i="121"/>
  <c r="P1326" i="121" l="1"/>
  <c r="P1325" i="121"/>
  <c r="J1327" i="121"/>
  <c r="I1325" i="121"/>
  <c r="I1326" i="121"/>
  <c r="P1324" i="121"/>
  <c r="I1324" i="121"/>
  <c r="P1312" i="121" l="1"/>
  <c r="P1313" i="121"/>
  <c r="P1314" i="121"/>
  <c r="P1315" i="121"/>
  <c r="P1316" i="121"/>
  <c r="P1317" i="121"/>
  <c r="P1318" i="121"/>
  <c r="P1319" i="121"/>
  <c r="P1320" i="121"/>
  <c r="P1311" i="121"/>
  <c r="J1321" i="121"/>
  <c r="I1312" i="121"/>
  <c r="I1313" i="121"/>
  <c r="I1314" i="121"/>
  <c r="I1315" i="121"/>
  <c r="I1316" i="121"/>
  <c r="I1317" i="121"/>
  <c r="I1318" i="121"/>
  <c r="I1319" i="121"/>
  <c r="I1320" i="121"/>
  <c r="I1311" i="121"/>
  <c r="I1305" i="121"/>
  <c r="I1306" i="121"/>
  <c r="I1307" i="121"/>
  <c r="I1304" i="121"/>
  <c r="P1305" i="121" l="1"/>
  <c r="P1306" i="121"/>
  <c r="P1307" i="121"/>
  <c r="P1304" i="121"/>
  <c r="J1308" i="121" l="1"/>
  <c r="J1301" i="121" l="1"/>
  <c r="I1300" i="121"/>
  <c r="I1299" i="121"/>
  <c r="J1296" i="121" l="1"/>
  <c r="I1293" i="121"/>
  <c r="I1294" i="121"/>
  <c r="I1295" i="121"/>
  <c r="I1292" i="121"/>
  <c r="J1289" i="121" l="1"/>
  <c r="I1283" i="121"/>
  <c r="I1284" i="121"/>
  <c r="I1285" i="121"/>
  <c r="I1286" i="121"/>
  <c r="I1287" i="121"/>
  <c r="I1288" i="121"/>
  <c r="I1282" i="121"/>
  <c r="J1279" i="121" l="1"/>
  <c r="I1273" i="121"/>
  <c r="I1274" i="121"/>
  <c r="I1275" i="121"/>
  <c r="I1276" i="121"/>
  <c r="I1277" i="121"/>
  <c r="I1278" i="121"/>
  <c r="I1272" i="121"/>
  <c r="J1269" i="121" l="1"/>
  <c r="I1261" i="121"/>
  <c r="I1262" i="121"/>
  <c r="I1263" i="121"/>
  <c r="I1264" i="121"/>
  <c r="I1265" i="121"/>
  <c r="I1266" i="121"/>
  <c r="I1267" i="121"/>
  <c r="I1268" i="121"/>
  <c r="I1260" i="121"/>
  <c r="J1257" i="121" l="1"/>
  <c r="I1253" i="121"/>
  <c r="I1254" i="121"/>
  <c r="I1255" i="121"/>
  <c r="I1256" i="121"/>
  <c r="I1252" i="121"/>
  <c r="I1251" i="121"/>
  <c r="I1250" i="121"/>
  <c r="J1247" i="121"/>
  <c r="I1246" i="121"/>
  <c r="J1243" i="121" l="1"/>
  <c r="I1237" i="121"/>
  <c r="I1238" i="121"/>
  <c r="I1239" i="121"/>
  <c r="I1240" i="121"/>
  <c r="I1241" i="121"/>
  <c r="I1242" i="121"/>
  <c r="I1236" i="121"/>
  <c r="J1233" i="121" l="1"/>
  <c r="I1230" i="121"/>
  <c r="I1231" i="121"/>
  <c r="I1232" i="121"/>
  <c r="I1228" i="121"/>
  <c r="I1229" i="121"/>
  <c r="I1227" i="121"/>
  <c r="I1226" i="121"/>
  <c r="I1225" i="121"/>
  <c r="I1224" i="121"/>
  <c r="J1221" i="121" l="1"/>
  <c r="I1220" i="121"/>
  <c r="J1217" i="121" l="1"/>
  <c r="I1213" i="121"/>
  <c r="I1214" i="121"/>
  <c r="I1215" i="121"/>
  <c r="I1216" i="121"/>
  <c r="I1212" i="121"/>
  <c r="J1209" i="121" l="1"/>
  <c r="I1208" i="121"/>
  <c r="I1207" i="121"/>
  <c r="J1204" i="121" l="1"/>
  <c r="I1203" i="121"/>
  <c r="J1200" i="121"/>
  <c r="I1199" i="121"/>
  <c r="I1198" i="121"/>
  <c r="J1195" i="121" l="1"/>
  <c r="I1192" i="121"/>
  <c r="I1193" i="121"/>
  <c r="I1194" i="121"/>
  <c r="I1191" i="121"/>
  <c r="J1188" i="121" l="1"/>
  <c r="I1176" i="121"/>
  <c r="I1177" i="121"/>
  <c r="I1178" i="121"/>
  <c r="I1179" i="121"/>
  <c r="I1180" i="121"/>
  <c r="I1181" i="121"/>
  <c r="I1182" i="121"/>
  <c r="I1183" i="121"/>
  <c r="I1184" i="121"/>
  <c r="I1185" i="121"/>
  <c r="I1186" i="121"/>
  <c r="I1187" i="121"/>
  <c r="I1175" i="121"/>
  <c r="J1172" i="121" l="1"/>
  <c r="I1168" i="121"/>
  <c r="I1169" i="121"/>
  <c r="I1170" i="121"/>
  <c r="I1171" i="121"/>
  <c r="I1167" i="121"/>
  <c r="J1164" i="121" l="1"/>
  <c r="I1162" i="121"/>
  <c r="I1163" i="121"/>
  <c r="I1161" i="121"/>
  <c r="J1158" i="121" l="1"/>
  <c r="I1155" i="121"/>
  <c r="I1156" i="121"/>
  <c r="I1157" i="121"/>
  <c r="I1154" i="121"/>
  <c r="J1151" i="121" l="1"/>
  <c r="I1150" i="121"/>
  <c r="J1147" i="121"/>
  <c r="I1146" i="121"/>
  <c r="J1143" i="121" l="1"/>
  <c r="I1134" i="121"/>
  <c r="I1135" i="121"/>
  <c r="I1136" i="121"/>
  <c r="I1137" i="121"/>
  <c r="I1138" i="121"/>
  <c r="I1139" i="121"/>
  <c r="I1140" i="121"/>
  <c r="I1141" i="121"/>
  <c r="I1142" i="121"/>
  <c r="I1133" i="121"/>
  <c r="J1130" i="121" l="1"/>
  <c r="I1129" i="121"/>
  <c r="I1128" i="121"/>
  <c r="J1125" i="121"/>
  <c r="I1121" i="121"/>
  <c r="I1122" i="121"/>
  <c r="I1123" i="121"/>
  <c r="I1124" i="121"/>
  <c r="I1120" i="121"/>
  <c r="I1119" i="121"/>
  <c r="I1118" i="121"/>
  <c r="I1117" i="121"/>
  <c r="J1114" i="121"/>
  <c r="I1113" i="121"/>
  <c r="I1112" i="121"/>
  <c r="I1111" i="121"/>
  <c r="I1110" i="121"/>
  <c r="J1107" i="121" l="1"/>
  <c r="I1102" i="121"/>
  <c r="I1103" i="121"/>
  <c r="I1104" i="121"/>
  <c r="I1105" i="121"/>
  <c r="I1106" i="121"/>
  <c r="I1101" i="121"/>
  <c r="J1098" i="121" l="1"/>
  <c r="I1091" i="121"/>
  <c r="I1092" i="121"/>
  <c r="I1093" i="121"/>
  <c r="I1094" i="121"/>
  <c r="I1095" i="121"/>
  <c r="I1096" i="121"/>
  <c r="I1097" i="121"/>
  <c r="I1090" i="121"/>
  <c r="J1087" i="121" l="1"/>
  <c r="I1086" i="121"/>
  <c r="I1085" i="121"/>
  <c r="J1082" i="121" l="1"/>
  <c r="I1080" i="121"/>
  <c r="I1081" i="121"/>
  <c r="I1079" i="121"/>
  <c r="J1076" i="121" l="1"/>
  <c r="I1073" i="121"/>
  <c r="I1074" i="121"/>
  <c r="I1075" i="121"/>
  <c r="I1072" i="121"/>
  <c r="J1069" i="121" l="1"/>
  <c r="I1068" i="121"/>
  <c r="I1067" i="121"/>
  <c r="I1066" i="121"/>
  <c r="J1063" i="121" l="1"/>
  <c r="I1060" i="121"/>
  <c r="I1061" i="121"/>
  <c r="I1062" i="121"/>
  <c r="I1059" i="121"/>
  <c r="J1056" i="121" l="1"/>
  <c r="I1046" i="121"/>
  <c r="I1047" i="121"/>
  <c r="I1048" i="121"/>
  <c r="I1049" i="121"/>
  <c r="I1050" i="121"/>
  <c r="I1051" i="121"/>
  <c r="I1052" i="121"/>
  <c r="I1053" i="121"/>
  <c r="I1054" i="121"/>
  <c r="I1055" i="121"/>
  <c r="I1045" i="121"/>
  <c r="J1042" i="121" l="1"/>
  <c r="I1036" i="121"/>
  <c r="I1037" i="121"/>
  <c r="I1038" i="121"/>
  <c r="I1039" i="121"/>
  <c r="I1040" i="121"/>
  <c r="I1041" i="121"/>
  <c r="I1035" i="121"/>
  <c r="J1032" i="121"/>
  <c r="I1026" i="121"/>
  <c r="I1027" i="121"/>
  <c r="I1028" i="121"/>
  <c r="I1029" i="121"/>
  <c r="I1030" i="121"/>
  <c r="I1031" i="121"/>
  <c r="I1025" i="121"/>
  <c r="J1022" i="121" l="1"/>
  <c r="I1020" i="121"/>
  <c r="I1021" i="121"/>
  <c r="I1019" i="121"/>
  <c r="J1016" i="121"/>
  <c r="I1014" i="121"/>
  <c r="I1015" i="121"/>
  <c r="I1013" i="121"/>
  <c r="J1010" i="121"/>
  <c r="I1001" i="121"/>
  <c r="I1002" i="121"/>
  <c r="I1003" i="121"/>
  <c r="I1004" i="121"/>
  <c r="I1005" i="121"/>
  <c r="I1006" i="121"/>
  <c r="I1007" i="121"/>
  <c r="I1008" i="121"/>
  <c r="I1009" i="121"/>
  <c r="I1000" i="121"/>
  <c r="J997" i="121" l="1"/>
  <c r="I996" i="121"/>
  <c r="I995" i="121"/>
  <c r="I994" i="121"/>
  <c r="I993" i="121"/>
  <c r="J990" i="121" l="1"/>
  <c r="I984" i="121"/>
  <c r="I985" i="121"/>
  <c r="I986" i="121"/>
  <c r="I987" i="121"/>
  <c r="I988" i="121"/>
  <c r="I989" i="121"/>
  <c r="I983" i="121"/>
  <c r="I979" i="121" l="1"/>
  <c r="I972" i="121"/>
  <c r="I973" i="121"/>
  <c r="I974" i="121"/>
  <c r="I975" i="121"/>
  <c r="I976" i="121"/>
  <c r="I977" i="121"/>
  <c r="I978" i="121"/>
  <c r="I971" i="121"/>
  <c r="J980" i="121"/>
  <c r="I959" i="121" l="1"/>
  <c r="I960" i="121"/>
  <c r="I961" i="121"/>
  <c r="I962" i="121"/>
  <c r="I963" i="121"/>
  <c r="I964" i="121"/>
  <c r="I965" i="121"/>
  <c r="I966" i="121"/>
  <c r="I967" i="121"/>
  <c r="J968" i="121"/>
  <c r="J956" i="121"/>
  <c r="I954" i="121"/>
  <c r="I955" i="121"/>
  <c r="I953" i="121"/>
  <c r="J950" i="121" l="1"/>
  <c r="I949" i="121"/>
  <c r="I948" i="121"/>
  <c r="I947" i="121"/>
  <c r="J944" i="121" l="1"/>
  <c r="I943" i="121"/>
  <c r="I939" i="121" l="1"/>
  <c r="J936" i="121" l="1"/>
  <c r="I935" i="121"/>
  <c r="I934" i="121"/>
  <c r="I933" i="121"/>
  <c r="J930" i="121" l="1"/>
  <c r="I929" i="121"/>
  <c r="I928" i="121"/>
  <c r="I927" i="121"/>
  <c r="I926" i="121"/>
  <c r="K1" i="150"/>
  <c r="J923" i="121" l="1"/>
  <c r="I922" i="121"/>
  <c r="I921" i="121"/>
  <c r="I920" i="121"/>
  <c r="I919" i="121"/>
  <c r="I918" i="121"/>
  <c r="I917" i="121"/>
  <c r="I916" i="121"/>
  <c r="J913" i="121" l="1"/>
  <c r="I909" i="121"/>
  <c r="I910" i="121"/>
  <c r="I911" i="121"/>
  <c r="I912" i="121"/>
  <c r="I908" i="121"/>
  <c r="J905" i="121" l="1"/>
  <c r="I904" i="121"/>
  <c r="I900" i="121"/>
  <c r="I901" i="121"/>
  <c r="I902" i="121"/>
  <c r="I903" i="121"/>
  <c r="I899" i="121"/>
  <c r="J896" i="121"/>
  <c r="I895" i="121" l="1"/>
  <c r="I894" i="121"/>
  <c r="I893" i="121"/>
  <c r="J890" i="121" l="1"/>
  <c r="I884" i="121"/>
  <c r="I885" i="121"/>
  <c r="I886" i="121"/>
  <c r="I887" i="121"/>
  <c r="I888" i="121"/>
  <c r="I889" i="121"/>
  <c r="I883" i="121"/>
  <c r="J880" i="121" l="1"/>
  <c r="I879" i="121"/>
  <c r="I878" i="121"/>
  <c r="I877" i="121"/>
  <c r="I876" i="121"/>
  <c r="J873" i="121" l="1"/>
  <c r="I870" i="121"/>
  <c r="I871" i="121"/>
  <c r="I872" i="121"/>
  <c r="I869" i="121"/>
  <c r="I868" i="121"/>
  <c r="I867" i="121"/>
  <c r="I862" i="121"/>
  <c r="I863" i="121"/>
  <c r="I864" i="121"/>
  <c r="I865" i="121"/>
  <c r="I866" i="121"/>
  <c r="J859" i="121" l="1"/>
  <c r="I858" i="121"/>
  <c r="I857" i="121"/>
  <c r="I856" i="121"/>
  <c r="J853" i="121" l="1"/>
  <c r="I852" i="121"/>
  <c r="I848" i="121" l="1"/>
  <c r="J845" i="121" l="1"/>
  <c r="I844" i="121" l="1"/>
  <c r="I843" i="121"/>
  <c r="I842" i="121"/>
  <c r="I841" i="121"/>
  <c r="J838" i="121" l="1"/>
  <c r="I834" i="121"/>
  <c r="I835" i="121"/>
  <c r="I836" i="121"/>
  <c r="I837" i="121"/>
  <c r="I833" i="121"/>
  <c r="J830" i="121"/>
  <c r="I829" i="121"/>
  <c r="J826" i="121" l="1"/>
  <c r="I825" i="121" l="1"/>
  <c r="I824" i="121"/>
  <c r="I823" i="121"/>
  <c r="J820" i="121"/>
  <c r="I819" i="121"/>
  <c r="I818" i="121"/>
  <c r="I817" i="121"/>
  <c r="I816" i="121"/>
  <c r="I815" i="121"/>
  <c r="I814" i="121"/>
  <c r="J811" i="121"/>
  <c r="I810" i="121"/>
  <c r="I809" i="121"/>
  <c r="I808" i="121"/>
  <c r="I807" i="121"/>
  <c r="I806" i="121"/>
  <c r="I804" i="121"/>
  <c r="I805" i="121"/>
  <c r="I803" i="121"/>
  <c r="J800" i="121" l="1"/>
  <c r="I799" i="121"/>
  <c r="I796" i="121"/>
  <c r="I797" i="121"/>
  <c r="I798" i="121"/>
  <c r="I795" i="121"/>
  <c r="I794" i="121"/>
  <c r="I793" i="121"/>
  <c r="J790" i="121" l="1"/>
  <c r="I789" i="121"/>
  <c r="I788" i="121"/>
  <c r="I787" i="121"/>
  <c r="I786" i="121"/>
  <c r="I785" i="121"/>
  <c r="I784" i="121"/>
  <c r="J781" i="121" l="1"/>
  <c r="I780" i="121"/>
  <c r="I779" i="121"/>
  <c r="J776" i="121" l="1"/>
  <c r="I775" i="121"/>
  <c r="I774" i="121"/>
  <c r="I773" i="121"/>
  <c r="I772" i="121"/>
  <c r="I771" i="121"/>
  <c r="I770" i="121"/>
  <c r="I769" i="121"/>
  <c r="J766" i="121"/>
  <c r="I765" i="121" l="1"/>
  <c r="I764" i="121"/>
  <c r="J761" i="121" l="1"/>
  <c r="I759" i="121"/>
  <c r="I760" i="121"/>
  <c r="I758" i="121"/>
  <c r="J755" i="121"/>
  <c r="I754" i="121"/>
  <c r="I750" i="121"/>
  <c r="I751" i="121"/>
  <c r="I752" i="121"/>
  <c r="I753" i="121"/>
  <c r="I749" i="121"/>
  <c r="I748" i="121"/>
  <c r="I747" i="121"/>
  <c r="J743" i="121"/>
  <c r="I731" i="121"/>
  <c r="I732" i="121"/>
  <c r="I733" i="121"/>
  <c r="I734" i="121"/>
  <c r="I735" i="121"/>
  <c r="I736" i="121"/>
  <c r="I737" i="121"/>
  <c r="I738" i="121"/>
  <c r="I739" i="121"/>
  <c r="I740" i="121"/>
  <c r="I741" i="121"/>
  <c r="I742" i="121"/>
  <c r="I730" i="121"/>
  <c r="J727" i="121"/>
  <c r="I726" i="121"/>
  <c r="I725" i="121"/>
  <c r="I724" i="121"/>
  <c r="I723" i="121"/>
  <c r="I722" i="121"/>
  <c r="I721" i="121"/>
  <c r="I720" i="121"/>
  <c r="I719" i="121"/>
  <c r="I718" i="121"/>
  <c r="I717" i="121"/>
  <c r="I716" i="121"/>
  <c r="I715" i="121"/>
  <c r="I714" i="121"/>
  <c r="J711" i="121" l="1"/>
  <c r="I704" i="121"/>
  <c r="I705" i="121"/>
  <c r="I709" i="121"/>
  <c r="I710" i="121"/>
  <c r="I703" i="121"/>
  <c r="J700" i="121" l="1"/>
  <c r="J658" i="121"/>
  <c r="J664" i="121"/>
  <c r="J671" i="121"/>
  <c r="J679" i="121"/>
  <c r="J687" i="121"/>
  <c r="I691" i="121"/>
  <c r="I692" i="121"/>
  <c r="I693" i="121"/>
  <c r="I697" i="121"/>
  <c r="I696" i="121"/>
  <c r="I699" i="121"/>
  <c r="I690" i="121"/>
  <c r="I695" i="121"/>
  <c r="I698" i="121"/>
  <c r="I694" i="121"/>
  <c r="I683" i="121" l="1"/>
  <c r="I684" i="121"/>
  <c r="I685" i="121"/>
  <c r="I686" i="121"/>
  <c r="I682" i="121"/>
  <c r="I675" i="121" l="1"/>
  <c r="I676" i="121"/>
  <c r="I677" i="121"/>
  <c r="I678" i="121"/>
  <c r="I674" i="121"/>
  <c r="I668" i="121" l="1"/>
  <c r="I669" i="121"/>
  <c r="I670" i="121"/>
  <c r="I667" i="121"/>
  <c r="I662" i="121" l="1"/>
  <c r="I663" i="121"/>
  <c r="I661" i="121"/>
  <c r="I653" i="121"/>
  <c r="I654" i="121"/>
  <c r="I655" i="121"/>
  <c r="I656" i="121"/>
  <c r="I657" i="121"/>
  <c r="I652" i="121"/>
  <c r="J649" i="121" l="1"/>
  <c r="I642" i="121"/>
  <c r="I643" i="121"/>
  <c r="I644" i="121"/>
  <c r="I645" i="121"/>
  <c r="I646" i="121"/>
  <c r="I647" i="121"/>
  <c r="I648" i="121"/>
  <c r="I641" i="121"/>
  <c r="J638" i="121" l="1"/>
  <c r="I637" i="121"/>
  <c r="I636" i="121"/>
  <c r="J633" i="121" l="1"/>
  <c r="I632" i="121"/>
  <c r="I631" i="121"/>
  <c r="I627" i="121"/>
  <c r="J628" i="121"/>
  <c r="I625" i="121"/>
  <c r="I626" i="121"/>
  <c r="I624" i="121"/>
  <c r="J621" i="121" l="1"/>
  <c r="I620" i="121"/>
  <c r="I619" i="121"/>
  <c r="I611" i="121"/>
  <c r="I612" i="121"/>
  <c r="I613" i="121"/>
  <c r="I614" i="121"/>
  <c r="I615" i="121"/>
  <c r="J616" i="121"/>
  <c r="I610" i="121"/>
  <c r="J607" i="121" l="1"/>
  <c r="I606" i="121"/>
  <c r="I605" i="121"/>
  <c r="J602" i="121"/>
  <c r="I601" i="121"/>
  <c r="J598" i="121"/>
  <c r="I593" i="121"/>
  <c r="I594" i="121"/>
  <c r="I595" i="121"/>
  <c r="I596" i="121"/>
  <c r="I597" i="121"/>
  <c r="I592" i="121"/>
  <c r="J589" i="121" l="1"/>
  <c r="I587" i="121"/>
  <c r="I588" i="121"/>
  <c r="I585" i="121"/>
  <c r="I586" i="121"/>
  <c r="I584" i="121"/>
  <c r="J581" i="121" l="1"/>
  <c r="I580" i="121"/>
  <c r="I579" i="121"/>
  <c r="J576" i="121"/>
  <c r="I568" i="121"/>
  <c r="I569" i="121"/>
  <c r="I570" i="121"/>
  <c r="I571" i="121"/>
  <c r="I572" i="121"/>
  <c r="I573" i="121"/>
  <c r="I574" i="121"/>
  <c r="I575" i="121"/>
  <c r="I567" i="121"/>
  <c r="J564" i="121"/>
  <c r="I563" i="121"/>
  <c r="I562" i="121"/>
  <c r="J559" i="121"/>
  <c r="I557" i="121"/>
  <c r="I558" i="121"/>
  <c r="I556" i="121"/>
  <c r="J553" i="121"/>
  <c r="I550" i="121"/>
  <c r="I551" i="121"/>
  <c r="I552" i="121"/>
  <c r="I549" i="121"/>
  <c r="J546" i="121" l="1"/>
  <c r="I543" i="121"/>
  <c r="I544" i="121"/>
  <c r="I545" i="121"/>
  <c r="I542" i="121"/>
  <c r="J539" i="121" l="1"/>
  <c r="I536" i="121"/>
  <c r="I537" i="121"/>
  <c r="I538" i="121"/>
  <c r="I535" i="121"/>
  <c r="J532" i="121"/>
  <c r="I530" i="121"/>
  <c r="I531" i="121"/>
  <c r="I529" i="121"/>
  <c r="J526" i="121" l="1"/>
  <c r="I523" i="121"/>
  <c r="I524" i="121"/>
  <c r="I525" i="121"/>
  <c r="I522" i="121"/>
  <c r="J519" i="121"/>
  <c r="I516" i="121"/>
  <c r="I517" i="121"/>
  <c r="I518" i="121"/>
  <c r="I515" i="121"/>
  <c r="J512" i="121" l="1"/>
  <c r="I510" i="121"/>
  <c r="I511" i="121"/>
  <c r="I509" i="121"/>
  <c r="J506" i="121" l="1"/>
  <c r="I504" i="121"/>
  <c r="I505" i="121"/>
  <c r="I501" i="121"/>
  <c r="I502" i="121"/>
  <c r="I503" i="121"/>
  <c r="I500" i="121"/>
  <c r="J497" i="121" l="1"/>
  <c r="I495" i="121"/>
  <c r="I496" i="121"/>
  <c r="I494" i="121"/>
  <c r="I493" i="121"/>
  <c r="I491" i="121"/>
  <c r="I492" i="121"/>
  <c r="I490" i="121"/>
  <c r="J487" i="121" l="1"/>
  <c r="I486" i="121"/>
  <c r="I485" i="121"/>
  <c r="I484" i="121"/>
  <c r="I483" i="121"/>
  <c r="J480" i="121" l="1"/>
  <c r="I476" i="121"/>
  <c r="I477" i="121"/>
  <c r="I478" i="121"/>
  <c r="I479" i="121"/>
  <c r="I475" i="121"/>
  <c r="J472" i="121" l="1"/>
  <c r="I471" i="121"/>
  <c r="I470" i="121"/>
  <c r="J467" i="121"/>
  <c r="I462" i="121"/>
  <c r="I463" i="121"/>
  <c r="I464" i="121"/>
  <c r="I465" i="121"/>
  <c r="I466" i="121"/>
  <c r="I461" i="121"/>
  <c r="J458" i="121" l="1"/>
  <c r="I457" i="121"/>
  <c r="I456" i="121"/>
  <c r="J453" i="121"/>
  <c r="I452" i="121"/>
  <c r="I451" i="121"/>
  <c r="J448" i="121" l="1"/>
  <c r="I446" i="121"/>
  <c r="I447" i="121"/>
  <c r="I445" i="121"/>
  <c r="J442" i="121" l="1"/>
  <c r="I438" i="121"/>
  <c r="I439" i="121"/>
  <c r="I440" i="121"/>
  <c r="I441" i="121"/>
  <c r="I437" i="121"/>
  <c r="J434" i="121" l="1"/>
  <c r="I433" i="121"/>
  <c r="I431" i="121"/>
  <c r="I432" i="121"/>
  <c r="I430" i="121"/>
  <c r="J426" i="121" l="1"/>
  <c r="I415" i="121"/>
  <c r="I416" i="121"/>
  <c r="I417" i="121"/>
  <c r="I418" i="121"/>
  <c r="I419" i="121"/>
  <c r="I420" i="121"/>
  <c r="I421" i="121"/>
  <c r="I422" i="121"/>
  <c r="I423" i="121"/>
  <c r="I424" i="121"/>
  <c r="I425" i="121"/>
  <c r="I414" i="121"/>
  <c r="I413" i="121"/>
  <c r="J410" i="121"/>
  <c r="I408" i="121"/>
  <c r="I409" i="121"/>
  <c r="I407" i="121"/>
  <c r="J404" i="121" l="1"/>
  <c r="I397" i="121"/>
  <c r="I398" i="121"/>
  <c r="I399" i="121"/>
  <c r="I400" i="121"/>
  <c r="I401" i="121"/>
  <c r="I402" i="121"/>
  <c r="I403" i="121"/>
  <c r="I396" i="121"/>
  <c r="I391" i="121" l="1"/>
  <c r="I392" i="121"/>
  <c r="I390" i="121"/>
  <c r="J393" i="121"/>
  <c r="J387" i="121" l="1"/>
  <c r="I386" i="121"/>
  <c r="I381" i="121" l="1"/>
  <c r="I382" i="121"/>
  <c r="I383" i="121"/>
  <c r="I384" i="121"/>
  <c r="I385" i="121"/>
  <c r="I380" i="121"/>
  <c r="J377" i="121" l="1"/>
  <c r="I375" i="121"/>
  <c r="I376" i="121"/>
  <c r="I374" i="121"/>
  <c r="J371" i="121" l="1"/>
  <c r="I363" i="121"/>
  <c r="I364" i="121"/>
  <c r="I365" i="121"/>
  <c r="I366" i="121"/>
  <c r="I367" i="121"/>
  <c r="I368" i="121"/>
  <c r="I369" i="121"/>
  <c r="I370" i="121"/>
  <c r="I362" i="121"/>
  <c r="J359" i="121" l="1"/>
  <c r="I356" i="121"/>
  <c r="I357" i="121"/>
  <c r="I358" i="121"/>
  <c r="I355" i="121"/>
  <c r="J352" i="121"/>
  <c r="I351" i="121"/>
  <c r="I350" i="121"/>
  <c r="I348" i="121"/>
  <c r="I349" i="121"/>
  <c r="J345" i="121" l="1"/>
  <c r="I339" i="121"/>
  <c r="I340" i="121"/>
  <c r="I341" i="121"/>
  <c r="I342" i="121"/>
  <c r="I343" i="121"/>
  <c r="I344" i="121"/>
  <c r="I338" i="121"/>
  <c r="J335" i="121" l="1"/>
  <c r="I315" i="121"/>
  <c r="I316" i="121"/>
  <c r="I317" i="121"/>
  <c r="I318" i="121"/>
  <c r="I319" i="121"/>
  <c r="I320" i="121"/>
  <c r="I321" i="121"/>
  <c r="I322" i="121"/>
  <c r="I323" i="121"/>
  <c r="I324" i="121"/>
  <c r="I325" i="121"/>
  <c r="I326" i="121"/>
  <c r="I327" i="121"/>
  <c r="I328" i="121"/>
  <c r="I329" i="121"/>
  <c r="I330" i="121"/>
  <c r="I331" i="121"/>
  <c r="I332" i="121"/>
  <c r="I333" i="121"/>
  <c r="I334" i="121"/>
  <c r="I314" i="121"/>
  <c r="J311" i="121" l="1"/>
  <c r="I310" i="121"/>
  <c r="I309" i="121"/>
  <c r="J306" i="121" l="1"/>
  <c r="I303" i="121"/>
  <c r="I304" i="121"/>
  <c r="I305" i="121"/>
  <c r="I302" i="121"/>
  <c r="I298" i="121" l="1"/>
  <c r="J299" i="121"/>
  <c r="J295" i="121" l="1"/>
  <c r="I291" i="121"/>
  <c r="I292" i="121"/>
  <c r="I293" i="121"/>
  <c r="I294" i="121"/>
  <c r="I290" i="121"/>
  <c r="J287" i="121" l="1"/>
  <c r="I286" i="121"/>
  <c r="I276" i="121"/>
  <c r="I277" i="121"/>
  <c r="I278" i="121"/>
  <c r="I279" i="121"/>
  <c r="I280" i="121"/>
  <c r="I281" i="121"/>
  <c r="I282" i="121"/>
  <c r="I283" i="121"/>
  <c r="I284" i="121"/>
  <c r="I285" i="121"/>
  <c r="I273" i="121"/>
  <c r="I274" i="121"/>
  <c r="I275" i="121"/>
  <c r="I272" i="121"/>
  <c r="J269" i="121" l="1"/>
  <c r="I268" i="121"/>
  <c r="I267" i="121"/>
  <c r="J264" i="121" l="1"/>
  <c r="I263" i="121"/>
  <c r="J260" i="121"/>
  <c r="I259" i="121"/>
  <c r="I258" i="121"/>
  <c r="J255" i="121"/>
  <c r="I249" i="121"/>
  <c r="I250" i="121"/>
  <c r="I251" i="121"/>
  <c r="I252" i="121"/>
  <c r="I253" i="121"/>
  <c r="I254" i="121"/>
  <c r="I248" i="121"/>
  <c r="J245" i="121" l="1"/>
  <c r="I243" i="121"/>
  <c r="I244" i="121"/>
  <c r="I242" i="121"/>
  <c r="J239" i="121" l="1"/>
  <c r="I236" i="121"/>
  <c r="I237" i="121"/>
  <c r="I238" i="121"/>
  <c r="I235" i="121"/>
  <c r="J232" i="121" l="1"/>
  <c r="I229" i="121"/>
  <c r="I230" i="121"/>
  <c r="I231" i="121"/>
  <c r="I223" i="121"/>
  <c r="I224" i="121"/>
  <c r="I225" i="121"/>
  <c r="I226" i="121"/>
  <c r="I227" i="121"/>
  <c r="I228" i="121"/>
  <c r="I222" i="121"/>
  <c r="J219" i="121"/>
  <c r="I215" i="121"/>
  <c r="I216" i="121"/>
  <c r="I217" i="121"/>
  <c r="I218" i="121"/>
  <c r="I214" i="121"/>
  <c r="J211" i="121"/>
  <c r="I209" i="121" l="1"/>
  <c r="I210" i="121"/>
  <c r="I208" i="121"/>
  <c r="I207" i="121"/>
  <c r="I206" i="121"/>
  <c r="J204" i="121" l="1"/>
  <c r="I203" i="121"/>
  <c r="I202" i="121"/>
  <c r="J200" i="121"/>
  <c r="I197" i="121"/>
  <c r="I198" i="121"/>
  <c r="I199" i="121"/>
  <c r="I196" i="121"/>
  <c r="J193" i="121" l="1"/>
  <c r="I185" i="121"/>
  <c r="I186" i="121"/>
  <c r="I187" i="121"/>
  <c r="I188" i="121"/>
  <c r="I189" i="121"/>
  <c r="I190" i="121"/>
  <c r="I191" i="121"/>
  <c r="I192" i="121"/>
  <c r="I184" i="121"/>
  <c r="J181" i="121" l="1"/>
  <c r="I179" i="121"/>
  <c r="I180" i="121"/>
  <c r="I178" i="121"/>
  <c r="J175" i="121"/>
  <c r="I171" i="121"/>
  <c r="I172" i="121"/>
  <c r="I173" i="121"/>
  <c r="I174" i="121"/>
  <c r="I170" i="121"/>
  <c r="J167" i="121" l="1"/>
  <c r="I166" i="121"/>
  <c r="J163" i="121" l="1"/>
  <c r="I161" i="121"/>
  <c r="I162" i="121"/>
  <c r="I160" i="121"/>
  <c r="I139" i="121" l="1"/>
  <c r="J157" i="121" l="1"/>
  <c r="I156" i="121"/>
  <c r="I155" i="121"/>
  <c r="I154" i="121"/>
  <c r="I153" i="121"/>
  <c r="J150" i="121" l="1"/>
  <c r="I149" i="121"/>
  <c r="I148" i="121"/>
  <c r="J145" i="121" l="1"/>
  <c r="I144" i="121" l="1"/>
  <c r="I143" i="121"/>
  <c r="I142" i="121"/>
  <c r="I141" i="121"/>
  <c r="I140" i="121"/>
  <c r="J136" i="121" l="1"/>
  <c r="I133" i="121"/>
  <c r="I134" i="121"/>
  <c r="I135" i="121"/>
  <c r="I132" i="121"/>
  <c r="I128" i="121" l="1"/>
  <c r="I127" i="121"/>
  <c r="J129" i="121"/>
  <c r="J124" i="121" l="1"/>
  <c r="I118" i="121"/>
  <c r="I119" i="121"/>
  <c r="I120" i="121"/>
  <c r="I121" i="121"/>
  <c r="I122" i="121"/>
  <c r="I123" i="121"/>
  <c r="I117" i="121"/>
  <c r="J114" i="121"/>
  <c r="I107" i="121"/>
  <c r="I108" i="121"/>
  <c r="I109" i="121"/>
  <c r="I110" i="121"/>
  <c r="I111" i="121"/>
  <c r="I112" i="121"/>
  <c r="I113" i="121"/>
  <c r="I106" i="121"/>
  <c r="J103" i="121" l="1"/>
  <c r="I98" i="121"/>
  <c r="I99" i="121"/>
  <c r="I100" i="121"/>
  <c r="I101" i="121"/>
  <c r="I102" i="121"/>
  <c r="I97" i="121"/>
  <c r="J94" i="121" l="1"/>
  <c r="I93" i="121"/>
  <c r="I92" i="121"/>
  <c r="J89" i="121" l="1"/>
  <c r="I81" i="121"/>
  <c r="I82" i="121"/>
  <c r="I83" i="121"/>
  <c r="I84" i="121"/>
  <c r="I85" i="121"/>
  <c r="I86" i="121"/>
  <c r="I87" i="121"/>
  <c r="I88" i="121"/>
  <c r="I80" i="121"/>
  <c r="J77" i="121" l="1"/>
  <c r="I76" i="121"/>
  <c r="I73" i="121"/>
  <c r="I74" i="121"/>
  <c r="I75" i="121"/>
  <c r="I72" i="121"/>
  <c r="J69" i="121" l="1"/>
  <c r="I60" i="121"/>
  <c r="I61" i="121"/>
  <c r="I62" i="121"/>
  <c r="I63" i="121"/>
  <c r="I64" i="121"/>
  <c r="I65" i="121"/>
  <c r="I66" i="121"/>
  <c r="I67" i="121"/>
  <c r="I68" i="121"/>
  <c r="I59" i="121"/>
  <c r="J56" i="121" l="1"/>
  <c r="I49" i="121"/>
  <c r="I50" i="121"/>
  <c r="I51" i="121"/>
  <c r="I52" i="121"/>
  <c r="I53" i="121"/>
  <c r="I54" i="121"/>
  <c r="I55" i="121"/>
  <c r="I48" i="121"/>
  <c r="J45" i="121" l="1"/>
  <c r="I38" i="121"/>
  <c r="I39" i="121"/>
  <c r="I40" i="121"/>
  <c r="I41" i="121"/>
  <c r="I42" i="121"/>
  <c r="I43" i="121"/>
  <c r="I44" i="121"/>
  <c r="I37" i="121"/>
  <c r="J34" i="121" l="1"/>
  <c r="I32" i="121"/>
  <c r="I33" i="121"/>
  <c r="I31" i="121"/>
  <c r="J28" i="121"/>
  <c r="I26" i="121"/>
  <c r="I27" i="121"/>
  <c r="I23" i="121"/>
  <c r="I24" i="121"/>
  <c r="I25" i="121"/>
  <c r="I22" i="121"/>
  <c r="J19" i="121" l="1"/>
  <c r="I17" i="121"/>
  <c r="I18" i="121"/>
  <c r="I16" i="121"/>
  <c r="J13" i="121" l="1"/>
  <c r="I12" i="121"/>
  <c r="J9" i="121"/>
  <c r="I8" i="121"/>
  <c r="I7" i="121"/>
  <c r="J4" i="121"/>
  <c r="I3" i="121"/>
  <c r="A64" i="150" l="1"/>
  <c r="J43" i="150"/>
  <c r="J42" i="150"/>
  <c r="A54" i="150" l="1"/>
  <c r="K29" i="150"/>
  <c r="M34" i="150"/>
  <c r="M33" i="150"/>
  <c r="M32" i="150"/>
  <c r="M31" i="150"/>
  <c r="K31" i="150"/>
  <c r="L30" i="150"/>
  <c r="K30" i="150"/>
  <c r="L31" i="150"/>
  <c r="K42" i="150" l="1"/>
  <c r="L42" i="150"/>
  <c r="K43" i="150"/>
  <c r="L43" i="150"/>
  <c r="L44" i="150"/>
  <c r="K64" i="150" l="1"/>
  <c r="L64" i="150"/>
  <c r="M44" i="150" l="1"/>
  <c r="M43" i="150"/>
  <c r="M42" i="150" l="1"/>
  <c r="M64" i="150" l="1"/>
  <c r="A52" i="150" l="1"/>
  <c r="A40" i="150" l="1"/>
  <c r="F16" i="150"/>
  <c r="C33" i="150" l="1"/>
  <c r="C35" i="150" s="1"/>
  <c r="B62" i="1"/>
  <c r="G62" i="1" s="1"/>
  <c r="B63" i="1" s="1"/>
  <c r="G63" i="1" s="1"/>
  <c r="B64" i="1" s="1"/>
  <c r="G64" i="1" s="1"/>
  <c r="B65" i="1" s="1"/>
  <c r="G65" i="1" s="1"/>
  <c r="B66" i="1" s="1"/>
  <c r="G66" i="1" s="1"/>
  <c r="B67" i="1" s="1"/>
  <c r="G67" i="1" s="1"/>
  <c r="B68" i="1" s="1"/>
  <c r="G68" i="1" s="1"/>
  <c r="B69" i="1" s="1"/>
  <c r="G69" i="1" s="1"/>
  <c r="B70" i="1" s="1"/>
  <c r="G70" i="1" s="1"/>
  <c r="B71" i="1" s="1"/>
  <c r="G71" i="1" s="1"/>
  <c r="B72" i="1" s="1"/>
  <c r="G72" i="1" s="1"/>
  <c r="B73" i="1" s="1"/>
  <c r="G73" i="1" s="1"/>
  <c r="B74" i="1" s="1"/>
  <c r="G74" i="1" s="1"/>
  <c r="B75" i="1" s="1"/>
  <c r="G75" i="1" s="1"/>
  <c r="B76" i="1" s="1"/>
  <c r="G76" i="1" s="1"/>
  <c r="B77" i="1" s="1"/>
  <c r="G77" i="1" s="1"/>
  <c r="B78" i="1" s="1"/>
  <c r="G78" i="1" s="1"/>
  <c r="B79" i="1" s="1"/>
  <c r="G79" i="1" s="1"/>
  <c r="B80" i="1" s="1"/>
  <c r="G80" i="1" s="1"/>
  <c r="B81" i="1" s="1"/>
  <c r="G81" i="1" s="1"/>
  <c r="B82" i="1" s="1"/>
  <c r="G82" i="1" s="1"/>
  <c r="B83" i="1" s="1"/>
  <c r="G83" i="1" s="1"/>
  <c r="B84" i="1" s="1"/>
  <c r="G84" i="1" s="1"/>
  <c r="B85" i="1" s="1"/>
  <c r="G85" i="1" s="1"/>
  <c r="B86" i="1" s="1"/>
  <c r="G86" i="1" s="1"/>
  <c r="B87" i="1" s="1"/>
  <c r="G87" i="1" s="1"/>
  <c r="B88" i="1" s="1"/>
  <c r="G88" i="1" s="1"/>
  <c r="B89" i="1" s="1"/>
  <c r="G89" i="1" s="1"/>
  <c r="B90" i="1" s="1"/>
  <c r="G90" i="1" s="1"/>
  <c r="B91" i="1" s="1"/>
  <c r="G91" i="1" s="1"/>
  <c r="B92" i="1" s="1"/>
  <c r="G92" i="1" s="1"/>
  <c r="B93" i="1" s="1"/>
  <c r="G93" i="1" s="1"/>
  <c r="B94" i="1" s="1"/>
  <c r="G94" i="1" s="1"/>
  <c r="B95" i="1" s="1"/>
  <c r="G95" i="1" s="1"/>
  <c r="B96" i="1" s="1"/>
  <c r="G96" i="1" s="1"/>
  <c r="B97" i="1" s="1"/>
  <c r="G97" i="1" s="1"/>
  <c r="B98" i="1" s="1"/>
  <c r="G98" i="1" s="1"/>
  <c r="B99" i="1" s="1"/>
  <c r="G99" i="1" s="1"/>
  <c r="B100" i="1" s="1"/>
  <c r="G100" i="1" s="1"/>
  <c r="B101" i="1" s="1"/>
  <c r="G101" i="1" s="1"/>
  <c r="B102" i="1" s="1"/>
  <c r="G102" i="1" s="1"/>
  <c r="B103" i="1" s="1"/>
  <c r="G103" i="1" s="1"/>
  <c r="B104" i="1" s="1"/>
  <c r="G104" i="1" s="1"/>
  <c r="B105" i="1" s="1"/>
  <c r="G105" i="1" s="1"/>
  <c r="B106" i="1" s="1"/>
  <c r="G106" i="1" s="1"/>
  <c r="B107" i="1" s="1"/>
  <c r="G107" i="1" s="1"/>
  <c r="B108" i="1" s="1"/>
  <c r="G108" i="1" s="1"/>
  <c r="B109" i="1" s="1"/>
  <c r="G109" i="1" s="1"/>
  <c r="B110" i="1" s="1"/>
  <c r="G110" i="1" s="1"/>
  <c r="B111" i="1" s="1"/>
  <c r="G111" i="1" s="1"/>
  <c r="B112" i="1" s="1"/>
  <c r="G112" i="1" s="1"/>
  <c r="B113" i="1" s="1"/>
  <c r="G113" i="1" s="1"/>
  <c r="B114" i="1" s="1"/>
  <c r="G114" i="1" s="1"/>
  <c r="B115" i="1" s="1"/>
  <c r="G115" i="1" s="1"/>
  <c r="B116" i="1" s="1"/>
  <c r="G116" i="1" s="1"/>
  <c r="B117" i="1" s="1"/>
  <c r="G117" i="1" s="1"/>
  <c r="B118" i="1" s="1"/>
  <c r="G118" i="1" s="1"/>
  <c r="B119" i="1" s="1"/>
  <c r="G119" i="1" s="1"/>
  <c r="B120" i="1" s="1"/>
  <c r="G120" i="1" s="1"/>
  <c r="B121" i="1" s="1"/>
  <c r="G121" i="1" s="1"/>
  <c r="B122" i="1" s="1"/>
  <c r="G122" i="1" s="1"/>
  <c r="B123" i="1" s="1"/>
  <c r="G123" i="1" s="1"/>
  <c r="B124" i="1" s="1"/>
  <c r="G124" i="1" s="1"/>
  <c r="B125" i="1" s="1"/>
  <c r="G125" i="1" s="1"/>
  <c r="B126" i="1" s="1"/>
  <c r="G126" i="1" s="1"/>
  <c r="B127" i="1" s="1"/>
  <c r="G127" i="1" s="1"/>
  <c r="B128" i="1" s="1"/>
  <c r="G128" i="1" s="1"/>
  <c r="B129" i="1" s="1"/>
  <c r="G129" i="1" s="1"/>
  <c r="B130" i="1" s="1"/>
  <c r="G130" i="1" s="1"/>
  <c r="B131" i="1" s="1"/>
  <c r="G131" i="1" s="1"/>
  <c r="B132" i="1" s="1"/>
  <c r="G132" i="1" s="1"/>
  <c r="B133" i="1" s="1"/>
  <c r="G133" i="1" s="1"/>
  <c r="B134" i="1" s="1"/>
  <c r="G134" i="1" s="1"/>
  <c r="B135" i="1" s="1"/>
  <c r="G135" i="1" s="1"/>
  <c r="B136" i="1" s="1"/>
  <c r="G136" i="1" s="1"/>
  <c r="B137" i="1" s="1"/>
  <c r="G137" i="1" s="1"/>
  <c r="B138" i="1" s="1"/>
  <c r="G138" i="1" s="1"/>
  <c r="B139" i="1" s="1"/>
  <c r="G139" i="1" s="1"/>
  <c r="B140" i="1" s="1"/>
  <c r="G140" i="1" s="1"/>
  <c r="B141" i="1" s="1"/>
  <c r="G141" i="1" s="1"/>
  <c r="B142" i="1" s="1"/>
  <c r="G142" i="1" s="1"/>
  <c r="B143" i="1" s="1"/>
  <c r="G143" i="1" s="1"/>
  <c r="B144" i="1" s="1"/>
  <c r="G144" i="1" s="1"/>
  <c r="B145" i="1" s="1"/>
  <c r="G145" i="1" s="1"/>
  <c r="B146" i="1" s="1"/>
  <c r="G146" i="1" s="1"/>
  <c r="B147" i="1" s="1"/>
  <c r="G147" i="1" s="1"/>
  <c r="B148" i="1" s="1"/>
  <c r="G148" i="1" s="1"/>
  <c r="B149" i="1" s="1"/>
  <c r="G149" i="1" s="1"/>
  <c r="B150" i="1" s="1"/>
  <c r="G150" i="1" s="1"/>
  <c r="B151" i="1" s="1"/>
  <c r="G151" i="1" s="1"/>
  <c r="B152" i="1" s="1"/>
  <c r="G152" i="1" s="1"/>
  <c r="B153" i="1" s="1"/>
  <c r="G153" i="1" s="1"/>
  <c r="B154" i="1" s="1"/>
  <c r="G154" i="1" s="1"/>
  <c r="B155" i="1" s="1"/>
  <c r="G155" i="1" s="1"/>
  <c r="B156" i="1" s="1"/>
  <c r="G156" i="1" s="1"/>
  <c r="B157" i="1" s="1"/>
  <c r="G157" i="1" s="1"/>
  <c r="B158" i="1" s="1"/>
  <c r="G158" i="1" s="1"/>
  <c r="B159" i="1" s="1"/>
  <c r="G159" i="1" s="1"/>
  <c r="B160" i="1" s="1"/>
  <c r="G160" i="1" s="1"/>
  <c r="B161" i="1" s="1"/>
  <c r="G161" i="1" s="1"/>
  <c r="B162" i="1" s="1"/>
  <c r="G162" i="1" s="1"/>
  <c r="B163" i="1" s="1"/>
  <c r="G163" i="1" s="1"/>
  <c r="B164" i="1" s="1"/>
  <c r="G164" i="1" s="1"/>
  <c r="B165" i="1" s="1"/>
  <c r="G165" i="1" s="1"/>
  <c r="B166" i="1" s="1"/>
  <c r="G166" i="1" s="1"/>
  <c r="B167" i="1" s="1"/>
  <c r="G167" i="1" s="1"/>
  <c r="B168" i="1" s="1"/>
  <c r="G168" i="1" s="1"/>
  <c r="B169" i="1" s="1"/>
  <c r="G169" i="1" s="1"/>
  <c r="B170" i="1" s="1"/>
  <c r="G170" i="1" s="1"/>
  <c r="B171" i="1" s="1"/>
  <c r="G171" i="1" s="1"/>
  <c r="B172" i="1" s="1"/>
  <c r="G172" i="1" s="1"/>
  <c r="B173" i="1" s="1"/>
  <c r="G173" i="1" s="1"/>
  <c r="B174" i="1" s="1"/>
  <c r="G174" i="1" s="1"/>
  <c r="B175" i="1" s="1"/>
  <c r="G175" i="1" s="1"/>
  <c r="B176" i="1" s="1"/>
  <c r="G176" i="1" s="1"/>
  <c r="B177" i="1" s="1"/>
  <c r="G177" i="1" s="1"/>
  <c r="B178" i="1" s="1"/>
  <c r="G178" i="1" s="1"/>
  <c r="B179" i="1" s="1"/>
  <c r="G179" i="1" s="1"/>
  <c r="B180" i="1" s="1"/>
  <c r="G180" i="1" s="1"/>
  <c r="B181" i="1" s="1"/>
  <c r="G181" i="1" s="1"/>
  <c r="B182" i="1" s="1"/>
  <c r="G182" i="1" s="1"/>
  <c r="B183" i="1" s="1"/>
  <c r="G183" i="1" s="1"/>
  <c r="B184" i="1" s="1"/>
  <c r="G184" i="1" s="1"/>
  <c r="B185" i="1" s="1"/>
  <c r="G185" i="1" s="1"/>
  <c r="B186" i="1" s="1"/>
  <c r="G186" i="1" s="1"/>
  <c r="B187" i="1" s="1"/>
  <c r="G187" i="1" s="1"/>
  <c r="B188" i="1" s="1"/>
  <c r="G188" i="1" s="1"/>
  <c r="B189" i="1" s="1"/>
  <c r="G189" i="1" s="1"/>
  <c r="B190" i="1" s="1"/>
  <c r="G190" i="1" s="1"/>
  <c r="B191" i="1" s="1"/>
  <c r="G191" i="1" s="1"/>
  <c r="B192" i="1" s="1"/>
  <c r="G192" i="1" s="1"/>
  <c r="B193" i="1" s="1"/>
  <c r="G193" i="1" s="1"/>
  <c r="B194" i="1" s="1"/>
  <c r="G194" i="1" s="1"/>
  <c r="B195" i="1" s="1"/>
  <c r="G195" i="1" s="1"/>
  <c r="B196" i="1" s="1"/>
  <c r="G196" i="1" s="1"/>
  <c r="B197" i="1" s="1"/>
  <c r="G197" i="1" s="1"/>
  <c r="B198" i="1" s="1"/>
  <c r="G198" i="1" s="1"/>
  <c r="B199" i="1" s="1"/>
  <c r="G199" i="1" s="1"/>
  <c r="B200" i="1" s="1"/>
  <c r="G200" i="1" s="1"/>
  <c r="B201" i="1" s="1"/>
  <c r="G201" i="1" s="1"/>
  <c r="B202" i="1" s="1"/>
  <c r="G202" i="1" s="1"/>
  <c r="B203" i="1" s="1"/>
  <c r="G203" i="1" s="1"/>
  <c r="B204" i="1" s="1"/>
  <c r="G204" i="1" s="1"/>
  <c r="B205" i="1" s="1"/>
  <c r="G205" i="1" s="1"/>
  <c r="B206" i="1" s="1"/>
  <c r="G206" i="1" s="1"/>
  <c r="B207" i="1" s="1"/>
  <c r="G207" i="1" s="1"/>
  <c r="B208" i="1" s="1"/>
  <c r="G208" i="1" s="1"/>
  <c r="B209" i="1" s="1"/>
  <c r="G209" i="1" s="1"/>
  <c r="B210" i="1" s="1"/>
  <c r="G210" i="1" s="1"/>
  <c r="B211" i="1" s="1"/>
  <c r="G211" i="1" s="1"/>
  <c r="B212" i="1" s="1"/>
  <c r="G212" i="1" s="1"/>
  <c r="B213" i="1" s="1"/>
  <c r="G213" i="1" s="1"/>
  <c r="B214" i="1" s="1"/>
  <c r="G214" i="1" s="1"/>
  <c r="B215" i="1" s="1"/>
  <c r="G215" i="1" s="1"/>
  <c r="B216" i="1" s="1"/>
  <c r="G216" i="1" s="1"/>
  <c r="B217" i="1" s="1"/>
  <c r="G217" i="1" s="1"/>
  <c r="B218" i="1" s="1"/>
  <c r="G218" i="1" s="1"/>
  <c r="B219" i="1" s="1"/>
  <c r="G219" i="1" s="1"/>
  <c r="B220" i="1" s="1"/>
  <c r="G220" i="1" s="1"/>
  <c r="B221" i="1" s="1"/>
  <c r="G221" i="1" s="1"/>
  <c r="B222" i="1" s="1"/>
  <c r="G222" i="1" s="1"/>
  <c r="B223" i="1" s="1"/>
  <c r="G223" i="1" s="1"/>
  <c r="B224" i="1" s="1"/>
  <c r="G224" i="1" s="1"/>
  <c r="B225" i="1" s="1"/>
  <c r="G225" i="1" s="1"/>
  <c r="B226" i="1" s="1"/>
  <c r="G226" i="1" s="1"/>
  <c r="B227" i="1" s="1"/>
  <c r="G227" i="1" s="1"/>
  <c r="B228" i="1" s="1"/>
  <c r="G228" i="1" s="1"/>
  <c r="B229" i="1" s="1"/>
  <c r="G229" i="1" s="1"/>
  <c r="B230" i="1" s="1"/>
  <c r="G230" i="1" s="1"/>
  <c r="B231" i="1" s="1"/>
  <c r="G231" i="1" s="1"/>
  <c r="B232" i="1" s="1"/>
  <c r="G232" i="1" s="1"/>
  <c r="B233" i="1" s="1"/>
  <c r="G233" i="1" s="1"/>
  <c r="B234" i="1" s="1"/>
  <c r="G234" i="1" s="1"/>
  <c r="B235" i="1" s="1"/>
  <c r="G235" i="1" s="1"/>
  <c r="B236" i="1" s="1"/>
  <c r="G236" i="1" s="1"/>
  <c r="B237" i="1" s="1"/>
  <c r="G237" i="1" s="1"/>
  <c r="B238" i="1" s="1"/>
  <c r="G238" i="1" s="1"/>
  <c r="B239" i="1" s="1"/>
  <c r="G239" i="1" s="1"/>
  <c r="B240" i="1" s="1"/>
  <c r="G240" i="1" s="1"/>
  <c r="B241" i="1" s="1"/>
  <c r="G241" i="1" s="1"/>
  <c r="B242" i="1" s="1"/>
  <c r="G242" i="1" s="1"/>
  <c r="B243" i="1" s="1"/>
  <c r="G243" i="1" s="1"/>
  <c r="B244" i="1" s="1"/>
  <c r="G244" i="1" s="1"/>
  <c r="B245" i="1" s="1"/>
  <c r="G245" i="1" s="1"/>
  <c r="B246" i="1" s="1"/>
  <c r="G246" i="1" s="1"/>
  <c r="B247" i="1" s="1"/>
  <c r="G247" i="1" s="1"/>
  <c r="B248" i="1" s="1"/>
  <c r="G248" i="1" s="1"/>
  <c r="B249" i="1" s="1"/>
  <c r="G249" i="1" s="1"/>
  <c r="B250" i="1" s="1"/>
  <c r="G250" i="1" s="1"/>
  <c r="B251" i="1" s="1"/>
  <c r="G251" i="1" s="1"/>
  <c r="B252" i="1" s="1"/>
  <c r="G252" i="1" s="1"/>
  <c r="B253" i="1" s="1"/>
  <c r="G253" i="1" s="1"/>
  <c r="B254" i="1" s="1"/>
  <c r="G254" i="1" s="1"/>
  <c r="B255" i="1" s="1"/>
  <c r="G255" i="1" s="1"/>
  <c r="B256" i="1" s="1"/>
  <c r="G256" i="1" s="1"/>
  <c r="B257" i="1" s="1"/>
  <c r="G257" i="1" s="1"/>
  <c r="B258" i="1" s="1"/>
  <c r="G258" i="1" s="1"/>
  <c r="B259" i="1" s="1"/>
  <c r="G259" i="1" s="1"/>
  <c r="B260" i="1" s="1"/>
  <c r="G260" i="1" s="1"/>
  <c r="B261" i="1" s="1"/>
  <c r="G261" i="1" s="1"/>
  <c r="B262" i="1" s="1"/>
  <c r="G262" i="1" s="1"/>
  <c r="B263" i="1" s="1"/>
  <c r="G263" i="1" s="1"/>
  <c r="B264" i="1" s="1"/>
  <c r="G264" i="1" s="1"/>
  <c r="B265" i="1" l="1"/>
  <c r="G265" i="1" s="1"/>
  <c r="B266" i="1" s="1"/>
  <c r="G266" i="1" s="1"/>
  <c r="B267" i="1" l="1"/>
  <c r="G267" i="1" s="1"/>
  <c r="B268" i="1" s="1"/>
  <c r="G268" i="1" s="1"/>
  <c r="B269" i="1" s="1"/>
  <c r="G269" i="1" s="1"/>
  <c r="B270" i="1" s="1"/>
  <c r="G270" i="1" s="1"/>
  <c r="B271" i="1" s="1"/>
  <c r="G271" i="1" s="1"/>
  <c r="B272" i="1" s="1"/>
  <c r="G272" i="1" s="1"/>
  <c r="B273" i="1" s="1"/>
  <c r="G273" i="1" s="1"/>
  <c r="B274" i="1" s="1"/>
  <c r="G274" i="1" s="1"/>
  <c r="B275" i="1" s="1"/>
  <c r="G275" i="1" s="1"/>
  <c r="B276" i="1" s="1"/>
  <c r="G276" i="1" s="1"/>
  <c r="B277" i="1" s="1"/>
  <c r="G277" i="1" s="1"/>
  <c r="B278" i="1" s="1"/>
  <c r="G278" i="1" s="1"/>
  <c r="B279" i="1" s="1"/>
  <c r="G279" i="1" s="1"/>
  <c r="B280" i="1" s="1"/>
  <c r="G280" i="1" s="1"/>
  <c r="B281" i="1" s="1"/>
  <c r="G281" i="1" s="1"/>
  <c r="B282" i="1" s="1"/>
  <c r="G282" i="1" s="1"/>
  <c r="B283" i="1" s="1"/>
  <c r="G283" i="1" s="1"/>
  <c r="B284" i="1" s="1"/>
  <c r="G284" i="1" s="1"/>
  <c r="B285" i="1" s="1"/>
  <c r="G285" i="1" s="1"/>
  <c r="B286" i="1" s="1"/>
  <c r="G286" i="1" s="1"/>
  <c r="B287" i="1" s="1"/>
  <c r="G287" i="1" s="1"/>
  <c r="B288" i="1" s="1"/>
  <c r="G288" i="1" s="1"/>
  <c r="B289" i="1" s="1"/>
  <c r="G289" i="1" s="1"/>
  <c r="B290" i="1" s="1"/>
  <c r="G290" i="1" s="1"/>
  <c r="B291" i="1" s="1"/>
  <c r="G291" i="1" s="1"/>
  <c r="B292" i="1" s="1"/>
  <c r="G292" i="1" s="1"/>
  <c r="B293" i="1" s="1"/>
  <c r="G293" i="1" s="1"/>
  <c r="B294" i="1" s="1"/>
  <c r="G294" i="1" s="1"/>
  <c r="B295" i="1" s="1"/>
  <c r="G295" i="1" s="1"/>
  <c r="B296" i="1" s="1"/>
  <c r="G296" i="1" s="1"/>
  <c r="B297" i="1" s="1"/>
  <c r="G297" i="1" s="1"/>
  <c r="B298" i="1" s="1"/>
  <c r="G298" i="1" s="1"/>
  <c r="B299" i="1" s="1"/>
  <c r="G299" i="1" s="1"/>
  <c r="B300" i="1" s="1"/>
  <c r="G300" i="1" s="1"/>
  <c r="B301" i="1" s="1"/>
  <c r="G301" i="1" s="1"/>
  <c r="B302" i="1" s="1"/>
  <c r="G302" i="1" s="1"/>
  <c r="B303" i="1" s="1"/>
  <c r="G303" i="1" s="1"/>
  <c r="B304" i="1" s="1"/>
  <c r="G304" i="1" s="1"/>
  <c r="B305" i="1" s="1"/>
  <c r="G305" i="1" s="1"/>
  <c r="B306" i="1" s="1"/>
  <c r="G306" i="1" s="1"/>
  <c r="B307" i="1" s="1"/>
  <c r="G307" i="1" s="1"/>
  <c r="B308" i="1" s="1"/>
  <c r="G308" i="1" s="1"/>
  <c r="B309" i="1" s="1"/>
  <c r="G309" i="1" s="1"/>
  <c r="B310" i="1" s="1"/>
  <c r="G310" i="1" s="1"/>
  <c r="B311" i="1" s="1"/>
  <c r="G311" i="1" s="1"/>
  <c r="B312" i="1" s="1"/>
  <c r="G312" i="1" s="1"/>
  <c r="B313" i="1" s="1"/>
  <c r="G313" i="1" s="1"/>
  <c r="B314" i="1" s="1"/>
  <c r="G314" i="1" s="1"/>
  <c r="B315" i="1" s="1"/>
  <c r="G315" i="1" s="1"/>
  <c r="B316" i="1" s="1"/>
  <c r="G316" i="1" s="1"/>
  <c r="B317" i="1" s="1"/>
  <c r="G317" i="1" s="1"/>
  <c r="B318" i="1" s="1"/>
  <c r="G318" i="1" s="1"/>
  <c r="B319" i="1" s="1"/>
  <c r="G319" i="1" s="1"/>
  <c r="B320" i="1" s="1"/>
  <c r="G320" i="1" s="1"/>
  <c r="B321" i="1" s="1"/>
  <c r="G321" i="1" s="1"/>
  <c r="B322" i="1" s="1"/>
  <c r="G322" i="1" s="1"/>
  <c r="B323" i="1" s="1"/>
  <c r="G323" i="1" s="1"/>
  <c r="B324" i="1" s="1"/>
  <c r="G324" i="1" s="1"/>
  <c r="B325" i="1" s="1"/>
  <c r="G325" i="1" s="1"/>
  <c r="B326" i="1" s="1"/>
  <c r="G326" i="1" s="1"/>
  <c r="B327" i="1" s="1"/>
  <c r="G327" i="1" s="1"/>
  <c r="B328" i="1" s="1"/>
  <c r="G328" i="1" s="1"/>
  <c r="B329" i="1" s="1"/>
  <c r="G329" i="1" s="1"/>
  <c r="B330" i="1" s="1"/>
  <c r="G330" i="1" s="1"/>
  <c r="B331" i="1" s="1"/>
  <c r="G331" i="1" s="1"/>
  <c r="B332" i="1" s="1"/>
  <c r="G332" i="1" s="1"/>
  <c r="B333" i="1" s="1"/>
  <c r="G333" i="1" s="1"/>
  <c r="B334" i="1" s="1"/>
  <c r="G334" i="1" s="1"/>
  <c r="B335" i="1" s="1"/>
  <c r="G335" i="1" s="1"/>
  <c r="B336" i="1" s="1"/>
  <c r="G336" i="1" s="1"/>
  <c r="B337" i="1" s="1"/>
  <c r="G337" i="1" s="1"/>
  <c r="B338" i="1" s="1"/>
  <c r="G338" i="1" s="1"/>
  <c r="B339" i="1" s="1"/>
  <c r="G339" i="1" s="1"/>
  <c r="B340" i="1" s="1"/>
  <c r="G340" i="1" s="1"/>
  <c r="B341" i="1" s="1"/>
  <c r="G341" i="1" s="1"/>
  <c r="B342" i="1" s="1"/>
  <c r="G342" i="1" s="1"/>
  <c r="B343" i="1" s="1"/>
  <c r="G343" i="1" s="1"/>
  <c r="B344" i="1" s="1"/>
  <c r="G344" i="1" s="1"/>
  <c r="B345" i="1" s="1"/>
  <c r="G345" i="1" s="1"/>
  <c r="B346" i="1" s="1"/>
  <c r="G346" i="1" s="1"/>
  <c r="B347" i="1" s="1"/>
  <c r="G347" i="1" s="1"/>
  <c r="B348" i="1" s="1"/>
  <c r="G348" i="1" s="1"/>
  <c r="B349" i="1" s="1"/>
  <c r="G349" i="1" s="1"/>
  <c r="B350" i="1" s="1"/>
  <c r="G350" i="1" s="1"/>
  <c r="B351" i="1" s="1"/>
  <c r="G351" i="1" s="1"/>
  <c r="B352" i="1" s="1"/>
  <c r="G352" i="1" s="1"/>
  <c r="B353" i="1" s="1"/>
  <c r="G353" i="1" s="1"/>
  <c r="B354" i="1" s="1"/>
  <c r="G354" i="1" s="1"/>
  <c r="B355" i="1" s="1"/>
  <c r="G355" i="1" s="1"/>
  <c r="B356" i="1" s="1"/>
  <c r="G356" i="1" s="1"/>
  <c r="B357" i="1" s="1"/>
  <c r="G357" i="1" s="1"/>
  <c r="B358" i="1" s="1"/>
  <c r="G358" i="1" s="1"/>
  <c r="B359" i="1" s="1"/>
  <c r="G359" i="1" s="1"/>
  <c r="B360" i="1" s="1"/>
  <c r="G360" i="1" s="1"/>
  <c r="B361" i="1" s="1"/>
  <c r="G361" i="1" s="1"/>
  <c r="B362" i="1" s="1"/>
  <c r="G362" i="1" s="1"/>
  <c r="B363" i="1" s="1"/>
  <c r="G363" i="1" s="1"/>
  <c r="B364" i="1" s="1"/>
  <c r="G364" i="1" s="1"/>
  <c r="B365" i="1" s="1"/>
  <c r="G365" i="1" s="1"/>
  <c r="B366" i="1" s="1"/>
  <c r="G366" i="1" s="1"/>
  <c r="B367" i="1" s="1"/>
  <c r="G367" i="1" s="1"/>
  <c r="B368" i="1" s="1"/>
  <c r="G368" i="1" s="1"/>
  <c r="B369" i="1" s="1"/>
  <c r="G369" i="1" s="1"/>
  <c r="B370" i="1" s="1"/>
  <c r="G370" i="1" s="1"/>
  <c r="B371" i="1" s="1"/>
  <c r="G371" i="1" s="1"/>
  <c r="B372" i="1" s="1"/>
  <c r="G372" i="1" s="1"/>
  <c r="B373" i="1" s="1"/>
  <c r="G373" i="1" s="1"/>
  <c r="B374" i="1" s="1"/>
  <c r="G374" i="1" s="1"/>
  <c r="B375" i="1" s="1"/>
  <c r="G375" i="1" s="1"/>
  <c r="B376" i="1" s="1"/>
  <c r="G376" i="1" s="1"/>
  <c r="B377" i="1" s="1"/>
  <c r="G377" i="1" s="1"/>
  <c r="B378" i="1" s="1"/>
  <c r="G378" i="1" s="1"/>
  <c r="B379" i="1" s="1"/>
  <c r="G379" i="1" s="1"/>
  <c r="B380" i="1" s="1"/>
  <c r="G380" i="1" s="1"/>
  <c r="B381" i="1" s="1"/>
  <c r="G381" i="1" s="1"/>
  <c r="B382" i="1" s="1"/>
  <c r="G382" i="1" s="1"/>
  <c r="B383" i="1" s="1"/>
  <c r="G383" i="1" s="1"/>
  <c r="B384" i="1" s="1"/>
  <c r="G384" i="1" s="1"/>
  <c r="B385" i="1" s="1"/>
  <c r="G385" i="1" s="1"/>
  <c r="B386" i="1" s="1"/>
  <c r="G386" i="1" s="1"/>
  <c r="B387" i="1" s="1"/>
  <c r="G387" i="1" s="1"/>
  <c r="B388" i="1" s="1"/>
  <c r="G388" i="1" s="1"/>
  <c r="B389" i="1" s="1"/>
  <c r="G389" i="1" s="1"/>
  <c r="B390" i="1" s="1"/>
  <c r="G390" i="1" s="1"/>
  <c r="B391" i="1" s="1"/>
  <c r="G391" i="1" s="1"/>
  <c r="B392" i="1" s="1"/>
  <c r="G392" i="1" s="1"/>
  <c r="B393" i="1" s="1"/>
  <c r="G393" i="1" s="1"/>
  <c r="B394" i="1" s="1"/>
  <c r="G394" i="1" s="1"/>
  <c r="B395" i="1" s="1"/>
  <c r="G395" i="1" s="1"/>
  <c r="B396" i="1" s="1"/>
  <c r="G396" i="1" s="1"/>
  <c r="B397" i="1" s="1"/>
  <c r="G397" i="1" s="1"/>
  <c r="B398" i="1" s="1"/>
  <c r="G398" i="1" s="1"/>
  <c r="B399" i="1" s="1"/>
  <c r="G399" i="1" s="1"/>
  <c r="B400" i="1" s="1"/>
  <c r="G400" i="1" s="1"/>
  <c r="B401" i="1" s="1"/>
  <c r="G401" i="1" s="1"/>
  <c r="B402" i="1" s="1"/>
  <c r="G402" i="1" s="1"/>
  <c r="B403" i="1" s="1"/>
  <c r="G403" i="1" s="1"/>
  <c r="B404" i="1" s="1"/>
  <c r="G404" i="1" s="1"/>
  <c r="B405" i="1" s="1"/>
  <c r="G405" i="1" s="1"/>
  <c r="B406" i="1" s="1"/>
  <c r="G406" i="1" s="1"/>
  <c r="B407" i="1" s="1"/>
  <c r="G407" i="1" s="1"/>
  <c r="B408" i="1" s="1"/>
  <c r="G408" i="1" s="1"/>
  <c r="B409" i="1" s="1"/>
  <c r="G409" i="1" s="1"/>
  <c r="B410" i="1" s="1"/>
  <c r="G410" i="1" s="1"/>
  <c r="B411" i="1" s="1"/>
  <c r="G411" i="1" s="1"/>
  <c r="B412" i="1" s="1"/>
  <c r="G412" i="1" s="1"/>
  <c r="B413" i="1" s="1"/>
  <c r="G413" i="1" s="1"/>
  <c r="B414" i="1" s="1"/>
  <c r="G414" i="1" s="1"/>
  <c r="B415" i="1" s="1"/>
  <c r="G415" i="1" s="1"/>
  <c r="B416" i="1" s="1"/>
  <c r="G416" i="1" s="1"/>
  <c r="B417" i="1" s="1"/>
  <c r="G417" i="1" s="1"/>
  <c r="B418" i="1" s="1"/>
  <c r="G418" i="1" s="1"/>
  <c r="B419" i="1" s="1"/>
  <c r="G419" i="1" s="1"/>
  <c r="B420" i="1" s="1"/>
  <c r="G420" i="1" s="1"/>
  <c r="B421" i="1" s="1"/>
  <c r="G421" i="1" s="1"/>
  <c r="B422" i="1" s="1"/>
  <c r="G422" i="1" s="1"/>
  <c r="B423" i="1" s="1"/>
  <c r="G423" i="1" s="1"/>
  <c r="B424" i="1" s="1"/>
  <c r="G424" i="1" s="1"/>
  <c r="B425" i="1" s="1"/>
  <c r="G425" i="1" s="1"/>
  <c r="B426" i="1" s="1"/>
  <c r="G426" i="1" s="1"/>
  <c r="B427" i="1" s="1"/>
  <c r="G427" i="1" s="1"/>
  <c r="B428" i="1" s="1"/>
  <c r="G428" i="1" s="1"/>
  <c r="B429" i="1" s="1"/>
  <c r="G429" i="1" s="1"/>
  <c r="B430" i="1" s="1"/>
  <c r="G430" i="1" s="1"/>
  <c r="B431" i="1" s="1"/>
  <c r="G431" i="1" s="1"/>
  <c r="B432" i="1" s="1"/>
  <c r="G432" i="1" s="1"/>
  <c r="B433" i="1" s="1"/>
  <c r="G433" i="1" s="1"/>
  <c r="B434" i="1" s="1"/>
  <c r="G434" i="1" s="1"/>
  <c r="B435" i="1" s="1"/>
  <c r="G435" i="1" s="1"/>
  <c r="B436" i="1" s="1"/>
  <c r="G436" i="1" s="1"/>
  <c r="B437" i="1" s="1"/>
  <c r="G437" i="1" s="1"/>
  <c r="B438" i="1" s="1"/>
  <c r="G438" i="1" s="1"/>
  <c r="B439" i="1" s="1"/>
  <c r="G439" i="1" s="1"/>
  <c r="B440" i="1" s="1"/>
  <c r="G440" i="1" s="1"/>
  <c r="B441" i="1" s="1"/>
  <c r="G441" i="1" s="1"/>
  <c r="B442" i="1" s="1"/>
  <c r="G442" i="1" s="1"/>
  <c r="B443" i="1" s="1"/>
  <c r="G443" i="1" s="1"/>
  <c r="B444" i="1" s="1"/>
  <c r="G444" i="1" s="1"/>
  <c r="B445" i="1" s="1"/>
  <c r="G445" i="1" s="1"/>
  <c r="B446" i="1" s="1"/>
  <c r="G446" i="1" s="1"/>
  <c r="B447" i="1" s="1"/>
  <c r="G447" i="1" s="1"/>
  <c r="B448" i="1" s="1"/>
  <c r="G448" i="1" s="1"/>
  <c r="B449" i="1" s="1"/>
  <c r="G449" i="1" s="1"/>
  <c r="B450" i="1" s="1"/>
  <c r="G450" i="1" s="1"/>
  <c r="B451" i="1" s="1"/>
  <c r="G451" i="1" s="1"/>
  <c r="B452" i="1" s="1"/>
  <c r="G452" i="1" s="1"/>
  <c r="B453" i="1" s="1"/>
  <c r="G453" i="1" s="1"/>
  <c r="B454" i="1" s="1"/>
  <c r="G454" i="1" s="1"/>
  <c r="B455" i="1" s="1"/>
  <c r="G455" i="1" s="1"/>
  <c r="B456" i="1" s="1"/>
  <c r="G456" i="1" s="1"/>
  <c r="B457" i="1" s="1"/>
  <c r="G457" i="1" s="1"/>
  <c r="B458" i="1" s="1"/>
  <c r="G458" i="1" s="1"/>
  <c r="B459" i="1" s="1"/>
  <c r="G459" i="1" s="1"/>
  <c r="B460" i="1" s="1"/>
  <c r="G460" i="1" s="1"/>
  <c r="B461" i="1" s="1"/>
  <c r="G461" i="1" s="1"/>
  <c r="B462" i="1" s="1"/>
  <c r="G462" i="1" s="1"/>
  <c r="B463" i="1" s="1"/>
  <c r="G463" i="1" s="1"/>
  <c r="B464" i="1" s="1"/>
  <c r="G464" i="1" s="1"/>
  <c r="B465" i="1" s="1"/>
  <c r="G465" i="1" s="1"/>
  <c r="B466" i="1" s="1"/>
  <c r="G466" i="1" s="1"/>
  <c r="B467" i="1" s="1"/>
  <c r="G467" i="1" s="1"/>
  <c r="B468" i="1" s="1"/>
  <c r="G468" i="1" s="1"/>
  <c r="B469" i="1" s="1"/>
  <c r="G469" i="1" s="1"/>
  <c r="B470" i="1" s="1"/>
  <c r="G470" i="1" s="1"/>
  <c r="B471" i="1" s="1"/>
  <c r="G471" i="1" s="1"/>
  <c r="B472" i="1" s="1"/>
  <c r="G472" i="1" s="1"/>
  <c r="B473" i="1" s="1"/>
  <c r="G473" i="1" s="1"/>
  <c r="B474" i="1" s="1"/>
  <c r="G474" i="1" s="1"/>
  <c r="B475" i="1" s="1"/>
  <c r="G475" i="1" s="1"/>
  <c r="B476" i="1" s="1"/>
  <c r="G476" i="1" s="1"/>
  <c r="B477" i="1" s="1"/>
  <c r="G477" i="1" s="1"/>
  <c r="B478" i="1" s="1"/>
  <c r="G478" i="1" s="1"/>
  <c r="B479" i="1" s="1"/>
  <c r="G479" i="1" s="1"/>
  <c r="B480" i="1" s="1"/>
  <c r="G480" i="1" s="1"/>
  <c r="B481" i="1" s="1"/>
  <c r="G481" i="1" s="1"/>
  <c r="B482" i="1" s="1"/>
  <c r="G482" i="1" s="1"/>
  <c r="B483" i="1" s="1"/>
  <c r="G483" i="1" s="1"/>
  <c r="B484" i="1" s="1"/>
  <c r="G484" i="1" s="1"/>
  <c r="B485" i="1" s="1"/>
  <c r="G485" i="1" s="1"/>
  <c r="B486" i="1" s="1"/>
  <c r="G486" i="1" s="1"/>
  <c r="B487" i="1" s="1"/>
  <c r="G487" i="1" s="1"/>
  <c r="B488" i="1" s="1"/>
  <c r="G488" i="1" s="1"/>
  <c r="B489" i="1" s="1"/>
  <c r="G489" i="1" s="1"/>
  <c r="B490" i="1" s="1"/>
  <c r="G490" i="1" s="1"/>
  <c r="B491" i="1" s="1"/>
  <c r="G491" i="1" s="1"/>
  <c r="B492" i="1" s="1"/>
  <c r="G492" i="1" s="1"/>
  <c r="B493" i="1" s="1"/>
  <c r="G493" i="1" s="1"/>
  <c r="B494" i="1" s="1"/>
  <c r="G494" i="1" s="1"/>
  <c r="B495" i="1" s="1"/>
  <c r="G495" i="1" s="1"/>
  <c r="B496" i="1" s="1"/>
  <c r="G496" i="1" s="1"/>
  <c r="B497" i="1" s="1"/>
  <c r="G497" i="1" s="1"/>
  <c r="B498" i="1" s="1"/>
  <c r="G498" i="1" s="1"/>
  <c r="B499" i="1" s="1"/>
  <c r="G499" i="1" s="1"/>
  <c r="B500" i="1" s="1"/>
  <c r="G500" i="1" s="1"/>
  <c r="B501" i="1" s="1"/>
  <c r="G501" i="1" s="1"/>
  <c r="B502" i="1" s="1"/>
  <c r="G502" i="1" s="1"/>
  <c r="B503" i="1" s="1"/>
  <c r="G503" i="1" s="1"/>
  <c r="B504" i="1" s="1"/>
  <c r="G504" i="1" s="1"/>
  <c r="B505" i="1" s="1"/>
  <c r="G505" i="1" s="1"/>
  <c r="B506" i="1" s="1"/>
  <c r="G506" i="1" s="1"/>
  <c r="B507" i="1" s="1"/>
  <c r="G507" i="1" s="1"/>
  <c r="B508" i="1" s="1"/>
  <c r="G508" i="1" s="1"/>
  <c r="B509" i="1" s="1"/>
  <c r="G509" i="1" s="1"/>
  <c r="B510" i="1" s="1"/>
  <c r="G510" i="1" s="1"/>
  <c r="B511" i="1" s="1"/>
  <c r="G511" i="1" s="1"/>
  <c r="B512" i="1" s="1"/>
  <c r="G512" i="1" s="1"/>
  <c r="B513" i="1" s="1"/>
  <c r="G513" i="1" s="1"/>
  <c r="B514" i="1" s="1"/>
  <c r="G514" i="1" s="1"/>
  <c r="B515" i="1" s="1"/>
  <c r="G515" i="1" s="1"/>
  <c r="B516" i="1" s="1"/>
  <c r="G516" i="1" s="1"/>
  <c r="B517" i="1" s="1"/>
  <c r="G517" i="1" s="1"/>
  <c r="B518" i="1" s="1"/>
  <c r="G518" i="1" s="1"/>
  <c r="B519" i="1" s="1"/>
  <c r="G519" i="1" s="1"/>
  <c r="B520" i="1" s="1"/>
  <c r="G520" i="1" s="1"/>
  <c r="B521" i="1" s="1"/>
  <c r="G521" i="1" s="1"/>
  <c r="B522" i="1" s="1"/>
  <c r="G522" i="1" s="1"/>
  <c r="B523" i="1" s="1"/>
  <c r="G523" i="1" s="1"/>
  <c r="B524" i="1" s="1"/>
  <c r="G524" i="1" s="1"/>
  <c r="B525" i="1" s="1"/>
  <c r="G525" i="1" s="1"/>
  <c r="B526" i="1" s="1"/>
  <c r="G526" i="1" s="1"/>
  <c r="B527" i="1" s="1"/>
  <c r="G527" i="1" s="1"/>
  <c r="B528" i="1" s="1"/>
  <c r="G528" i="1" s="1"/>
  <c r="B529" i="1" s="1"/>
  <c r="G529" i="1" s="1"/>
  <c r="B530" i="1" s="1"/>
  <c r="G530" i="1" s="1"/>
  <c r="B531" i="1" s="1"/>
  <c r="G531" i="1" s="1"/>
  <c r="B532" i="1" s="1"/>
  <c r="G532" i="1" s="1"/>
  <c r="B533" i="1" s="1"/>
  <c r="G533" i="1" s="1"/>
  <c r="B534" i="1" s="1"/>
  <c r="G534" i="1" s="1"/>
  <c r="B535" i="1" s="1"/>
  <c r="G535" i="1" s="1"/>
  <c r="B536" i="1" s="1"/>
  <c r="G536" i="1" s="1"/>
  <c r="B537" i="1" s="1"/>
  <c r="G537" i="1" s="1"/>
  <c r="B538" i="1" s="1"/>
  <c r="G538" i="1" s="1"/>
  <c r="B539" i="1" s="1"/>
  <c r="G539" i="1" s="1"/>
  <c r="B540" i="1" s="1"/>
  <c r="G540" i="1" s="1"/>
  <c r="B541" i="1" s="1"/>
  <c r="G541" i="1" s="1"/>
  <c r="B542" i="1" s="1"/>
  <c r="G542" i="1" s="1"/>
  <c r="I135" i="19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Evangelina Gregorio</author>
    <author>Susana Garcia</author>
    <author>Garcia, Susana</author>
  </authors>
  <commentList>
    <comment ref="D45" authorId="0" shapeId="0" xr:uid="{DE5F5D1D-D6F9-485C-83D8-C77666D30DF7}">
      <text>
        <r>
          <rPr>
            <b/>
            <sz val="9"/>
            <color indexed="81"/>
            <rFont val="Tahoma"/>
            <family val="2"/>
          </rPr>
          <t>Evangelina Gregorio:</t>
        </r>
        <r>
          <rPr>
            <sz val="9"/>
            <color indexed="81"/>
            <rFont val="Tahoma"/>
            <family val="2"/>
          </rPr>
          <t xml:space="preserve">
Behavioral Funds going into 7559.
</t>
        </r>
        <r>
          <rPr>
            <b/>
            <sz val="9"/>
            <color indexed="81"/>
            <rFont val="Tahoma"/>
            <family val="2"/>
          </rPr>
          <t xml:space="preserve">Susana Garcia:
</t>
        </r>
        <r>
          <rPr>
            <sz val="9"/>
            <color indexed="81"/>
            <rFont val="Tahoma"/>
            <family val="2"/>
          </rPr>
          <t xml:space="preserve">a je is done qtr by dpss taking money from subfund 11056 into GF </t>
        </r>
      </text>
    </comment>
    <comment ref="D55" authorId="1" shapeId="0" xr:uid="{ED3F1774-3B7C-4BD0-B437-59F9466B695C}">
      <text>
        <r>
          <rPr>
            <b/>
            <sz val="9"/>
            <color indexed="81"/>
            <rFont val="Tahoma"/>
            <family val="2"/>
          </rPr>
          <t>Susana Garcia:</t>
        </r>
        <r>
          <rPr>
            <sz val="9"/>
            <color indexed="81"/>
            <rFont val="Tahoma"/>
            <family val="2"/>
          </rPr>
          <t xml:space="preserve">
Funding in this account comes from Trial Court-Heydee, Behavioral Funds-Kathryn Roberts, Local Fund 2011 DPSS- Stacey, AB109 Rita Dehni, AB 1869 Criminal fees backfill</t>
        </r>
      </text>
    </comment>
    <comment ref="D82" authorId="2" shapeId="0" xr:uid="{187B8E10-9438-4CFB-BA82-E7563DDCA674}">
      <text>
        <r>
          <rPr>
            <b/>
            <sz val="9"/>
            <color indexed="81"/>
            <rFont val="Tahoma"/>
            <family val="2"/>
          </rPr>
          <t>Garcia, Susana:</t>
        </r>
        <r>
          <rPr>
            <sz val="9"/>
            <color indexed="81"/>
            <rFont val="Tahoma"/>
            <family val="2"/>
          </rPr>
          <t xml:space="preserve">
781242(SB813 PT Clearing) money comes in from property tax appts like S12,Y12.  Money going in Jan/Mar/May/June but out on Jan/May/June to net to zero by end of year.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Evangelina Gregorio</author>
    <author>Susana Garcia</author>
    <author>Garcia, Susana</author>
  </authors>
  <commentList>
    <comment ref="D45" authorId="0" shapeId="0" xr:uid="{F0C05B7C-313A-49E4-A93C-F9086B2FCBF8}">
      <text>
        <r>
          <rPr>
            <b/>
            <sz val="9"/>
            <color indexed="81"/>
            <rFont val="Tahoma"/>
            <family val="2"/>
          </rPr>
          <t>Evangelina Gregorio:</t>
        </r>
        <r>
          <rPr>
            <sz val="9"/>
            <color indexed="81"/>
            <rFont val="Tahoma"/>
            <family val="2"/>
          </rPr>
          <t xml:space="preserve">
Behavioral Funds going into 7559.
</t>
        </r>
        <r>
          <rPr>
            <b/>
            <sz val="9"/>
            <color indexed="81"/>
            <rFont val="Tahoma"/>
            <family val="2"/>
          </rPr>
          <t xml:space="preserve">Susana Garcia:
</t>
        </r>
        <r>
          <rPr>
            <sz val="9"/>
            <color indexed="81"/>
            <rFont val="Tahoma"/>
            <family val="2"/>
          </rPr>
          <t xml:space="preserve">a je is done qtr by dpss taking money from subfund 11056 into GF </t>
        </r>
      </text>
    </comment>
    <comment ref="D55" authorId="1" shapeId="0" xr:uid="{577FF9D2-054A-4AB3-A21A-6F626090337F}">
      <text>
        <r>
          <rPr>
            <b/>
            <sz val="9"/>
            <color indexed="81"/>
            <rFont val="Tahoma"/>
            <family val="2"/>
          </rPr>
          <t>Susana Garcia:</t>
        </r>
        <r>
          <rPr>
            <sz val="9"/>
            <color indexed="81"/>
            <rFont val="Tahoma"/>
            <family val="2"/>
          </rPr>
          <t xml:space="preserve">
Funding in this account comes from Trial Court-Heydee, Behavioral Funds-Kathryn Roberts, Local Fund 2011 DPSS- Stacey, AB109 Rita Dehni, AB 1869 Criminal fees backfill</t>
        </r>
      </text>
    </comment>
    <comment ref="D82" authorId="2" shapeId="0" xr:uid="{A2222531-366E-441C-8E87-F11D97EAE5B8}">
      <text>
        <r>
          <rPr>
            <b/>
            <sz val="9"/>
            <color indexed="81"/>
            <rFont val="Tahoma"/>
            <family val="2"/>
          </rPr>
          <t>Garcia, Susana:</t>
        </r>
        <r>
          <rPr>
            <sz val="9"/>
            <color indexed="81"/>
            <rFont val="Tahoma"/>
            <family val="2"/>
          </rPr>
          <t xml:space="preserve">
781242(SB813 PT Clearing) money comes in from property tax appts like S12,Y12.  Money going in Jan/Mar/May/June but out on Jan/May/June to net to zero by end of year.
</t>
        </r>
      </text>
    </comment>
  </commentList>
</comments>
</file>

<file path=xl/sharedStrings.xml><?xml version="1.0" encoding="utf-8"?>
<sst xmlns="http://schemas.openxmlformats.org/spreadsheetml/2006/main" count="25533" uniqueCount="6925">
  <si>
    <t>Beginning 
Balance</t>
  </si>
  <si>
    <t>Cash 
Receipts</t>
  </si>
  <si>
    <t>Journal 
Transfers In</t>
  </si>
  <si>
    <t>Journal 
Transfers Out</t>
  </si>
  <si>
    <t>Ending 
Balance</t>
  </si>
  <si>
    <t>10000</t>
  </si>
  <si>
    <t>101100</t>
  </si>
  <si>
    <t>PR</t>
  </si>
  <si>
    <t>PUR</t>
  </si>
  <si>
    <t>ONL</t>
  </si>
  <si>
    <t>This transaction redistributes remittances deposited to the Welfare Advance Fund.</t>
  </si>
  <si>
    <t>ARP</t>
  </si>
  <si>
    <t>ARD</t>
  </si>
  <si>
    <t>CIV</t>
  </si>
  <si>
    <t>APW</t>
  </si>
  <si>
    <t>YE</t>
  </si>
  <si>
    <t>AT</t>
  </si>
  <si>
    <t>Ref</t>
  </si>
  <si>
    <t>Year</t>
  </si>
  <si>
    <t>Period</t>
  </si>
  <si>
    <t>Fund</t>
  </si>
  <si>
    <t>Account</t>
  </si>
  <si>
    <t>Journal ID</t>
  </si>
  <si>
    <t>Date</t>
  </si>
  <si>
    <t>Source</t>
  </si>
  <si>
    <t>Source Code Description</t>
  </si>
  <si>
    <t>Sum Amount</t>
  </si>
  <si>
    <t>Posted</t>
  </si>
  <si>
    <t>Long Description</t>
  </si>
  <si>
    <t>Date
Time</t>
  </si>
  <si>
    <t>Riverside County</t>
  </si>
  <si>
    <t xml:space="preserve"> Auditor-Controller’s Office</t>
  </si>
  <si>
    <t>Source Code Definitions</t>
  </si>
  <si>
    <t>AAA</t>
  </si>
  <si>
    <t>ACO Adjust for Fixed Assets</t>
  </si>
  <si>
    <t>AAJ</t>
  </si>
  <si>
    <t>AUDITOR-ONLY Cash Recon Adj</t>
  </si>
  <si>
    <t>AJ</t>
  </si>
  <si>
    <t>CAFR ONLY - Auditor Audit Adj</t>
  </si>
  <si>
    <t>ALI</t>
  </si>
  <si>
    <t>Interfund Allocations</t>
  </si>
  <si>
    <t>ALO</t>
  </si>
  <si>
    <t>Allocations</t>
  </si>
  <si>
    <t>AM</t>
  </si>
  <si>
    <t>AM Module Journals</t>
  </si>
  <si>
    <t>AMA</t>
  </si>
  <si>
    <t>AM Additions</t>
  </si>
  <si>
    <t>AMC</t>
  </si>
  <si>
    <t>AM Re-Categorizations</t>
  </si>
  <si>
    <t>AMD</t>
  </si>
  <si>
    <t>AM Depreciation Expense</t>
  </si>
  <si>
    <t>AMR</t>
  </si>
  <si>
    <t>AM Retirements</t>
  </si>
  <si>
    <t>AMT</t>
  </si>
  <si>
    <t>AM Adjustments &amp; Transfers</t>
  </si>
  <si>
    <t>AP</t>
  </si>
  <si>
    <t>AP Module Journals</t>
  </si>
  <si>
    <t>APC</t>
  </si>
  <si>
    <t>AP Closure</t>
  </si>
  <si>
    <t>APV</t>
  </si>
  <si>
    <t>AP Voucher Accrual</t>
  </si>
  <si>
    <t>AP Warrant Issuance</t>
  </si>
  <si>
    <t>APX</t>
  </si>
  <si>
    <t>AP Cancellation</t>
  </si>
  <si>
    <t>APZ</t>
  </si>
  <si>
    <t>Warrant Cash Reclass</t>
  </si>
  <si>
    <t>AR</t>
  </si>
  <si>
    <t>AR Module Journals</t>
  </si>
  <si>
    <t>ARB</t>
  </si>
  <si>
    <t>AR Billing</t>
  </si>
  <si>
    <t>AR Direct Cash Journal</t>
  </si>
  <si>
    <t>ARM</t>
  </si>
  <si>
    <t>AR Maintenance</t>
  </si>
  <si>
    <t>AR Payments</t>
  </si>
  <si>
    <t>Property Tax Interface</t>
  </si>
  <si>
    <t>BFD</t>
  </si>
  <si>
    <t>Balance Forwards</t>
  </si>
  <si>
    <t>BI</t>
  </si>
  <si>
    <t>BI Module Journal</t>
  </si>
  <si>
    <t>BIB</t>
  </si>
  <si>
    <t>BI Billing</t>
  </si>
  <si>
    <t>BIU</t>
  </si>
  <si>
    <t>BI Accrual of Unbilled Revenue</t>
  </si>
  <si>
    <t>CHA</t>
  </si>
  <si>
    <t>Health Interface Journals</t>
  </si>
  <si>
    <t>C-IV Voucher/Payments/EBT</t>
  </si>
  <si>
    <t>CJ</t>
  </si>
  <si>
    <t>CAFR ONLY - Client Audit Adj</t>
  </si>
  <si>
    <t>DBC</t>
  </si>
  <si>
    <t>Deposit Based Closures</t>
  </si>
  <si>
    <t>DBF</t>
  </si>
  <si>
    <t>Deposit Based Fees</t>
  </si>
  <si>
    <t>FFC</t>
  </si>
  <si>
    <t>Flood Control Projt Conversion</t>
  </si>
  <si>
    <t>FIX</t>
  </si>
  <si>
    <t>Year-End Fix Up</t>
  </si>
  <si>
    <t>FLD</t>
  </si>
  <si>
    <t>Flood-Online Interface Files</t>
  </si>
  <si>
    <t>FNP</t>
  </si>
  <si>
    <t>Flood Non-Project Payroll</t>
  </si>
  <si>
    <t>GW</t>
  </si>
  <si>
    <t>Government-Wide(GASB34)GAAP2</t>
  </si>
  <si>
    <t>HAC</t>
  </si>
  <si>
    <t>RCRMC Hospital Accruals</t>
  </si>
  <si>
    <t>HAM</t>
  </si>
  <si>
    <t>Hospital Accruals Manual</t>
  </si>
  <si>
    <t>IN</t>
  </si>
  <si>
    <t>IN Module Journals</t>
  </si>
  <si>
    <t>INT</t>
  </si>
  <si>
    <t>Inventory Transactions</t>
  </si>
  <si>
    <t>IT</t>
  </si>
  <si>
    <t>Treasurers Interest Apportion</t>
  </si>
  <si>
    <t>ITA</t>
  </si>
  <si>
    <t>IT Applications Dev Support</t>
  </si>
  <si>
    <t>ITD</t>
  </si>
  <si>
    <t>IT Data Communications Svcs</t>
  </si>
  <si>
    <t>ITM</t>
  </si>
  <si>
    <t>IT Miscellaneous Services</t>
  </si>
  <si>
    <t>ITO</t>
  </si>
  <si>
    <t>IT Operations Support</t>
  </si>
  <si>
    <t>ITP</t>
  </si>
  <si>
    <t>IT Phone Journals</t>
  </si>
  <si>
    <t>ITR</t>
  </si>
  <si>
    <t>IT Radio &amp; Electronics Svcs</t>
  </si>
  <si>
    <t>ITS</t>
  </si>
  <si>
    <t>IT Systems Support</t>
  </si>
  <si>
    <t>ITT</t>
  </si>
  <si>
    <t>IT Telephone Services</t>
  </si>
  <si>
    <t>ITZ</t>
  </si>
  <si>
    <t>IT Planning &amp; Research Support</t>
  </si>
  <si>
    <t>OCJ</t>
  </si>
  <si>
    <t>2002 CAJE(CAFR Audit Adjust)</t>
  </si>
  <si>
    <t>On Line Journal Entries</t>
  </si>
  <si>
    <t>PC</t>
  </si>
  <si>
    <t>Project Costing</t>
  </si>
  <si>
    <t>PCA</t>
  </si>
  <si>
    <t>Project Cost Adjustments</t>
  </si>
  <si>
    <t>PCC</t>
  </si>
  <si>
    <t>PDW</t>
  </si>
  <si>
    <t>Paid Warrants Non PS</t>
  </si>
  <si>
    <t>PEC</t>
  </si>
  <si>
    <t>PO Encumbrance Closure</t>
  </si>
  <si>
    <t>PER</t>
  </si>
  <si>
    <t>PO Encumbrance Reversal</t>
  </si>
  <si>
    <t>PO</t>
  </si>
  <si>
    <t>PO Module Journals</t>
  </si>
  <si>
    <t>POE</t>
  </si>
  <si>
    <t>PO Encumbrance</t>
  </si>
  <si>
    <t>PPC</t>
  </si>
  <si>
    <t>PO Pre-Encumbrance Closure</t>
  </si>
  <si>
    <t>PPE</t>
  </si>
  <si>
    <t>PO Pre-Encumbrance</t>
  </si>
  <si>
    <t>PPR</t>
  </si>
  <si>
    <t>PO Pre-Encumbrance Reversal</t>
  </si>
  <si>
    <t>HRMS Interface Journals</t>
  </si>
  <si>
    <t>PRA</t>
  </si>
  <si>
    <t>Payroll Adjustments ACO</t>
  </si>
  <si>
    <t>PRT</t>
  </si>
  <si>
    <t>Printing Services</t>
  </si>
  <si>
    <t>PT</t>
  </si>
  <si>
    <t>Property Tax Interface Refunds</t>
  </si>
  <si>
    <t>PTR</t>
  </si>
  <si>
    <t>Property Tax  RONES</t>
  </si>
  <si>
    <t>PTT</t>
  </si>
  <si>
    <t>Property Tax  TEETER</t>
  </si>
  <si>
    <t>Prch,Cntrl Mail,Flt,Prntg,Sply</t>
  </si>
  <si>
    <t>RMC</t>
  </si>
  <si>
    <t>Medical Center Interface JE's</t>
  </si>
  <si>
    <t>SPD</t>
  </si>
  <si>
    <t>Spreadsheet Journal Entries</t>
  </si>
  <si>
    <t>STL</t>
  </si>
  <si>
    <t>Stale Dated Warrants</t>
  </si>
  <si>
    <t>SUP</t>
  </si>
  <si>
    <t>Supply Services</t>
  </si>
  <si>
    <t>TLC</t>
  </si>
  <si>
    <t>TLMA Project Conversion</t>
  </si>
  <si>
    <t>TSC</t>
  </si>
  <si>
    <t>Treasurer School Journals</t>
  </si>
  <si>
    <t>UPG</t>
  </si>
  <si>
    <t>Upgrade-Controlled Budget Jrnl</t>
  </si>
  <si>
    <t>WAC</t>
  </si>
  <si>
    <t>Waste Accrual Entries</t>
  </si>
  <si>
    <t>WTP</t>
  </si>
  <si>
    <t>Warrants Paid</t>
  </si>
  <si>
    <t>Year-End Package Journals</t>
  </si>
  <si>
    <t>The amounts listed below are estimates only and does not include all expected receipts and disbursements.</t>
  </si>
  <si>
    <t>Projected Receipts</t>
  </si>
  <si>
    <t>Total Projected Receipts for Current Month</t>
  </si>
  <si>
    <t>Projected Disbursements</t>
  </si>
  <si>
    <t>Total Projected Disbursements for Current Month</t>
  </si>
  <si>
    <t>Revenue Source</t>
  </si>
  <si>
    <t>Expected Posting</t>
  </si>
  <si>
    <t>Amount</t>
  </si>
  <si>
    <t>Vehicle Code Fines</t>
  </si>
  <si>
    <t>730xxx</t>
  </si>
  <si>
    <t>TOM</t>
  </si>
  <si>
    <t>Other Court Fines</t>
  </si>
  <si>
    <t>731xxx</t>
  </si>
  <si>
    <t>AB233 Realignment</t>
  </si>
  <si>
    <t>Forfeitures &amp; Penalties</t>
  </si>
  <si>
    <t>732xxx</t>
  </si>
  <si>
    <t>733xxx</t>
  </si>
  <si>
    <t>Mental Health Services</t>
  </si>
  <si>
    <t>Various</t>
  </si>
  <si>
    <t>Public Assistance Programs</t>
  </si>
  <si>
    <t>Realignment</t>
  </si>
  <si>
    <t>Other State Revenue</t>
  </si>
  <si>
    <t>Other Federal Grants &amp; Revenue</t>
  </si>
  <si>
    <t>Assessments and Tax Colln Fees</t>
  </si>
  <si>
    <t>770xxx</t>
  </si>
  <si>
    <t>Court Fees &amp; Costs</t>
  </si>
  <si>
    <t>772xxx</t>
  </si>
  <si>
    <t>Fire Protection</t>
  </si>
  <si>
    <t>779xxx</t>
  </si>
  <si>
    <t>Health Fees</t>
  </si>
  <si>
    <t>774xxx</t>
  </si>
  <si>
    <t>Interfund Revenue</t>
  </si>
  <si>
    <t>778xxx</t>
  </si>
  <si>
    <t>Law Enforcement Revenue</t>
  </si>
  <si>
    <t>773xxx</t>
  </si>
  <si>
    <t xml:space="preserve">Other </t>
  </si>
  <si>
    <t>Expenditure Source</t>
  </si>
  <si>
    <t>51xxx</t>
  </si>
  <si>
    <t>Communications</t>
  </si>
  <si>
    <t>520200 - 520330</t>
  </si>
  <si>
    <t>Insurance</t>
  </si>
  <si>
    <t>520900 - 520970</t>
  </si>
  <si>
    <t>Maintenance</t>
  </si>
  <si>
    <t>Office Expenses</t>
  </si>
  <si>
    <t>523600 - 523940</t>
  </si>
  <si>
    <t>Profession and Specialized Services</t>
  </si>
  <si>
    <t>524500 - 525640</t>
  </si>
  <si>
    <t>Rents and Leases</t>
  </si>
  <si>
    <t>526500 - 526730</t>
  </si>
  <si>
    <t>Special Departmental Expenses</t>
  </si>
  <si>
    <t>527100 - 528500</t>
  </si>
  <si>
    <t>Transportation and Travel</t>
  </si>
  <si>
    <t>528900 - 529160</t>
  </si>
  <si>
    <t>Utilities</t>
  </si>
  <si>
    <t>529500 - 529550</t>
  </si>
  <si>
    <t>Miscellaneous</t>
  </si>
  <si>
    <t>Intrafund Allocation</t>
  </si>
  <si>
    <t>57xxx</t>
  </si>
  <si>
    <t>Contributions to Trial Court Funding</t>
  </si>
  <si>
    <t>Contributions to Other Funds</t>
  </si>
  <si>
    <t>Contributions to Health &amp; Mental Health</t>
  </si>
  <si>
    <t>Other Expenses</t>
  </si>
  <si>
    <t>Contribution to Other Funds</t>
  </si>
  <si>
    <t>Legend</t>
  </si>
  <si>
    <t>EOM - End of Month</t>
  </si>
  <si>
    <t>TOM - Through Out the Month</t>
  </si>
  <si>
    <t>BOM - Beginning of the Month</t>
  </si>
  <si>
    <t>Teeter Overflow</t>
  </si>
  <si>
    <t>TRANs Payment</t>
  </si>
  <si>
    <t>Department ID</t>
  </si>
  <si>
    <t>Posted Date</t>
  </si>
  <si>
    <t>Notes</t>
  </si>
  <si>
    <t>Prop Tax Current Secured</t>
  </si>
  <si>
    <t>Sept/Nov/Dec/Jan/Apr/May/Jun</t>
  </si>
  <si>
    <t>Prop Tax Current Unsecured</t>
  </si>
  <si>
    <t>Prop Tax Prior Unsecured</t>
  </si>
  <si>
    <t>Prop Tax Current Supplemental</t>
  </si>
  <si>
    <t>Prop Tax Prior Supplemental</t>
  </si>
  <si>
    <t xml:space="preserve">     Property Tax Revenue</t>
  </si>
  <si>
    <t xml:space="preserve">     Sales and Use Taxes</t>
  </si>
  <si>
    <t>Documentary Transfer Tax</t>
  </si>
  <si>
    <t>Non Commn Aircraft</t>
  </si>
  <si>
    <t>Transient Occupancy</t>
  </si>
  <si>
    <t>Racehorse Tax</t>
  </si>
  <si>
    <t xml:space="preserve">     Other Taxes</t>
  </si>
  <si>
    <t xml:space="preserve">     Licenses, Permits &amp; Franchise Tax</t>
  </si>
  <si>
    <t>TOM from August-June</t>
  </si>
  <si>
    <t>Penalties &amp; Cost on Delinquent Taxes</t>
  </si>
  <si>
    <t>Nov/Jan/Feb/May/Jun</t>
  </si>
  <si>
    <t>April/May/June</t>
  </si>
  <si>
    <t xml:space="preserve">     Fines, Forfeitures &amp; Penalties</t>
  </si>
  <si>
    <t>Interest Income</t>
  </si>
  <si>
    <t>Rent and Concessions</t>
  </si>
  <si>
    <t xml:space="preserve">     Use of Money and Property</t>
  </si>
  <si>
    <t>Motor Vehicles License Fees (MVLF)</t>
  </si>
  <si>
    <t xml:space="preserve">     CA-Managed Care</t>
  </si>
  <si>
    <t xml:space="preserve">     CA-Mental Health Services</t>
  </si>
  <si>
    <t xml:space="preserve">     CA-Mental Health Svcs Act</t>
  </si>
  <si>
    <t xml:space="preserve">     CA-Prop 36 SA&amp;Crime Prevention</t>
  </si>
  <si>
    <t xml:space="preserve">     CA-Rollover</t>
  </si>
  <si>
    <t xml:space="preserve">     CA-State MH Subs Funding</t>
  </si>
  <si>
    <t xml:space="preserve">     CA-Public Asset Administration</t>
  </si>
  <si>
    <t xml:space="preserve">     CA-Public Asst Program</t>
  </si>
  <si>
    <t xml:space="preserve">     CA-Support Enf Incentive</t>
  </si>
  <si>
    <t xml:space="preserve">     CA-AB118 Local Revenue</t>
  </si>
  <si>
    <t xml:space="preserve">     CA-Realignment from VLF</t>
  </si>
  <si>
    <t xml:space="preserve">     CA-Realignment-DPSS</t>
  </si>
  <si>
    <t xml:space="preserve">     CA-Realignment-Health</t>
  </si>
  <si>
    <t xml:space="preserve">     CA-Realignment-Mental Health</t>
  </si>
  <si>
    <t xml:space="preserve">     State Aid</t>
  </si>
  <si>
    <t xml:space="preserve">     Fed-Public Assistance Admin</t>
  </si>
  <si>
    <t xml:space="preserve">     Fed-Publ Assistance Programs</t>
  </si>
  <si>
    <t xml:space="preserve">     Fed-Family Support Reimb</t>
  </si>
  <si>
    <t xml:space="preserve">     Fed-Support Enforce Incentive</t>
  </si>
  <si>
    <t xml:space="preserve">     Federal Aid</t>
  </si>
  <si>
    <t xml:space="preserve">     Other Gov't Aid - Contractual Rev</t>
  </si>
  <si>
    <t xml:space="preserve">     Charges for Current Services</t>
  </si>
  <si>
    <t xml:space="preserve">     Other Miscellaneous Revenue</t>
  </si>
  <si>
    <t xml:space="preserve">Various </t>
  </si>
  <si>
    <t>Operating Transfer-In</t>
  </si>
  <si>
    <t>Sept/Dec/Mar/Jun</t>
  </si>
  <si>
    <t>Contribution For Other County Funds</t>
  </si>
  <si>
    <t>Nov/Jun</t>
  </si>
  <si>
    <t xml:space="preserve">     Other Financing Sources</t>
  </si>
  <si>
    <t>Sept/Nov/Dec/Mar/Jun</t>
  </si>
  <si>
    <t xml:space="preserve">     Salaries &amp; Benefits</t>
  </si>
  <si>
    <t xml:space="preserve">     Services &amp; Supplies</t>
  </si>
  <si>
    <t xml:space="preserve">     Other Charges</t>
  </si>
  <si>
    <t xml:space="preserve">     Fixed Assets &amp; Capital Outlay</t>
  </si>
  <si>
    <t xml:space="preserve">     Other Financing Uses</t>
  </si>
  <si>
    <t>Public Safety Sales Tax-Prop 172</t>
  </si>
  <si>
    <t>Franchises</t>
  </si>
  <si>
    <t>Other Licences &amp; Permits</t>
  </si>
  <si>
    <t>RDV Prty Tax, LMIH Resdul Asts</t>
  </si>
  <si>
    <t>Prop Tax Prior Secured</t>
  </si>
  <si>
    <t>Contributions to Non-County Agency</t>
  </si>
  <si>
    <t>monthly fleet svcs billing 528920</t>
  </si>
  <si>
    <t>536240, 536200</t>
  </si>
  <si>
    <t>RCRMC Realignment, State Excess AB233 payments</t>
  </si>
  <si>
    <t>monthly 520350 core svcs, 520220 radio operations</t>
  </si>
  <si>
    <t>monthly supply svcs billing various accts</t>
  </si>
  <si>
    <t>EO qtrly MOE payments</t>
  </si>
  <si>
    <t>April</t>
  </si>
  <si>
    <t>BOM</t>
  </si>
  <si>
    <t>monthly 520930 Gen &amp; Auto Lia, annual 520945 Property Insurance</t>
  </si>
  <si>
    <t>Jan/Jun</t>
  </si>
  <si>
    <t>RCIT Servers and Support Services</t>
  </si>
  <si>
    <t>525800 - 525900</t>
  </si>
  <si>
    <t>monthly rcit billings</t>
  </si>
  <si>
    <t>This transaction reclassifies Family Support-CPFSS deferred revenue to General Fund earned revenue.</t>
  </si>
  <si>
    <t xml:space="preserve">Warrants Issued </t>
  </si>
  <si>
    <t>C-IV, IHSS IP, RCRMC Payor MOU</t>
  </si>
  <si>
    <t>FMI</t>
  </si>
  <si>
    <t>Property Taxes Clearing</t>
  </si>
  <si>
    <t>Redistributes remittances from Welfare Advance Fund to GF Deferred Revenue pending receipt/processing of documents providing detailed advance/settlement information. Once documents are received/processed a second redistribution will be done.</t>
  </si>
  <si>
    <t>Facilities Mngmnt Intfc Jrnls</t>
  </si>
  <si>
    <t>Treasurer Tax Collector</t>
  </si>
  <si>
    <t>Payroll TAP Service Fees</t>
  </si>
  <si>
    <t>Posting of intergovernmental revenues that were earned upon incurring expenditures qualifying for SB163 Wraparound funding.</t>
  </si>
  <si>
    <t>Redistributes remittances deposited to the Welfare Advance Fund.</t>
  </si>
  <si>
    <t>State Board of Equalization - Local Sales Tax Revenue.</t>
  </si>
  <si>
    <t/>
  </si>
  <si>
    <t>This transaction reclassifies Local Revenue Fund 2011 deferred revenue to General Fund revenue for DPSS CalWORKs Assistance MOE.  Reference: WIC Section 17601.25.</t>
  </si>
  <si>
    <t>Salaries.</t>
  </si>
  <si>
    <t>Retirement - PERS.</t>
  </si>
  <si>
    <t>Social Security.</t>
  </si>
  <si>
    <t>TTC</t>
  </si>
  <si>
    <t>This transaction reclassifies Protective Services Local Revenue Fund 2011 deferred revenue to General Fund earned revenue.  Ref: Govt Code Section 30025(f)(8).</t>
  </si>
  <si>
    <t>525440 Fire Department SVC COOP AGRMNT</t>
  </si>
  <si>
    <t>Frequency</t>
  </si>
  <si>
    <t>Business Unit</t>
  </si>
  <si>
    <t>Monthly</t>
  </si>
  <si>
    <t>SHARC</t>
  </si>
  <si>
    <t>EOARC</t>
  </si>
  <si>
    <t xml:space="preserve">Monthly </t>
  </si>
  <si>
    <t>One-Time Basis</t>
  </si>
  <si>
    <t>Quarterly</t>
  </si>
  <si>
    <t>HSARC</t>
  </si>
  <si>
    <t>ASARC</t>
  </si>
  <si>
    <t>DPARC</t>
  </si>
  <si>
    <t xml:space="preserve">Bi-Weekly </t>
  </si>
  <si>
    <t xml:space="preserve">Payroll </t>
  </si>
  <si>
    <t>FMARC</t>
  </si>
  <si>
    <t>MHARC</t>
  </si>
  <si>
    <t>DCARC</t>
  </si>
  <si>
    <t>FPARC</t>
  </si>
  <si>
    <t>ACARC</t>
  </si>
  <si>
    <t xml:space="preserve">Quarterly </t>
  </si>
  <si>
    <t>HRARC</t>
  </si>
  <si>
    <t>ITARC</t>
  </si>
  <si>
    <t>RVARC</t>
  </si>
  <si>
    <t>PRARC</t>
  </si>
  <si>
    <t>Semi-Annually</t>
  </si>
  <si>
    <t>Bi-Weekly</t>
  </si>
  <si>
    <t>Payroll</t>
  </si>
  <si>
    <t>TTARC</t>
  </si>
  <si>
    <t>DPSS</t>
  </si>
  <si>
    <t>PUARC</t>
  </si>
  <si>
    <t>Department of Public Health - State Health Grants.</t>
  </si>
  <si>
    <t>ACCRC</t>
  </si>
  <si>
    <t>EMARC</t>
  </si>
  <si>
    <t>DAARC</t>
  </si>
  <si>
    <t>Annually</t>
  </si>
  <si>
    <t>CalSAWS.</t>
  </si>
  <si>
    <t xml:space="preserve">quarterly workers comp </t>
  </si>
  <si>
    <t>AGARC</t>
  </si>
  <si>
    <t xml:space="preserve">Department of Public Health State Revenue. </t>
  </si>
  <si>
    <t xml:space="preserve">SHARC </t>
  </si>
  <si>
    <t xml:space="preserve">Sheriff Department - Contractual Revenue from City of Moreno Valley. </t>
  </si>
  <si>
    <t>Sheriff Department - Contractual Revenue from City of Palm Desert.</t>
  </si>
  <si>
    <t>PAYROLL</t>
  </si>
  <si>
    <t>This transaction reclassifies Protective Services Local Revenue Fund 2011 deferred revenue to General Fund earned revenue. Ref: Govt Code Section 30025(f)(8).</t>
  </si>
  <si>
    <t>Sheriff Department - Contractual Revenue from City of Temecula.</t>
  </si>
  <si>
    <t>Sheriff Department - Contractual Revenue from City of Moreno Valley.</t>
  </si>
  <si>
    <t>Sheriff Department - Contractual Revenue from City of Norco.</t>
  </si>
  <si>
    <t>PDARC</t>
  </si>
  <si>
    <t>RUHS Mental Health - Federal Revenue received for Fed-Medi-Cal-FFP (Federal Financial Participation).</t>
  </si>
  <si>
    <t>Auditor-Controller's Office - State Revenue from VLF Realignment.</t>
  </si>
  <si>
    <t>Sheriff Department - Contractual Revenue from City of La Quinta.</t>
  </si>
  <si>
    <t>Sheriff Department - Contractual Revenue from City of Temecula and Temecula Valley Unified School District.</t>
  </si>
  <si>
    <t>Sheriff Department - Contractual Revenue from City of Perris and Perris Union High School District.</t>
  </si>
  <si>
    <t>Salaries</t>
  </si>
  <si>
    <t>Retirement - PERS</t>
  </si>
  <si>
    <t>CalSAWS</t>
  </si>
  <si>
    <t>Social Security</t>
  </si>
  <si>
    <t>Monthly fleet svcs billing 527690 and Monthly Facilities Management Labor 528030</t>
  </si>
  <si>
    <t>monthly 526700 Facilities Payable Lease</t>
  </si>
  <si>
    <t>Sum of Ending 
Balance</t>
  </si>
  <si>
    <t>Pool</t>
  </si>
  <si>
    <t>3rd Party</t>
  </si>
  <si>
    <t>CFD - Community Facility District</t>
  </si>
  <si>
    <t>Funds to Close</t>
  </si>
  <si>
    <t>County Service Area (CSA)</t>
  </si>
  <si>
    <t>Cash with Fiscal Agent</t>
  </si>
  <si>
    <t>Enterprise Funds</t>
  </si>
  <si>
    <t>Flood Control</t>
  </si>
  <si>
    <t>General Fund</t>
  </si>
  <si>
    <t>General Restricted Sub-fund</t>
  </si>
  <si>
    <t>General Unrestricted Sub-fund</t>
  </si>
  <si>
    <t>Internal Service Funds</t>
  </si>
  <si>
    <t>Parks</t>
  </si>
  <si>
    <t>Restricted Assets</t>
  </si>
  <si>
    <t>RDA</t>
  </si>
  <si>
    <t>Restricted General Fund</t>
  </si>
  <si>
    <t>Special Districts</t>
  </si>
  <si>
    <t>Transportation</t>
  </si>
  <si>
    <t>Unrestricted General Funds</t>
  </si>
  <si>
    <t>WRMD</t>
  </si>
  <si>
    <t>Warrant Clearing</t>
  </si>
  <si>
    <t>Debt Service Fund</t>
  </si>
  <si>
    <t>Special Revenue (CSA's)</t>
  </si>
  <si>
    <t>Total Available Funds</t>
  </si>
  <si>
    <t>Flood</t>
  </si>
  <si>
    <t>First 5</t>
  </si>
  <si>
    <t>Housing</t>
  </si>
  <si>
    <t>IHSS</t>
  </si>
  <si>
    <t>Waste</t>
  </si>
  <si>
    <t>Funds Available for Borrowing</t>
  </si>
  <si>
    <t>Capital Projects Fund</t>
  </si>
  <si>
    <t>Special Revenue (Transport)</t>
  </si>
  <si>
    <t>Special Revenue Fund</t>
  </si>
  <si>
    <t xml:space="preserve">Fund </t>
  </si>
  <si>
    <t>Funds with Borrowing Restrictions</t>
  </si>
  <si>
    <t>Fiduciary-Private Purpose</t>
  </si>
  <si>
    <r>
      <rPr>
        <sz val="8"/>
        <rFont val="Arial"/>
        <family val="2"/>
      </rPr>
      <t>Cemetery</t>
    </r>
  </si>
  <si>
    <r>
      <rPr>
        <sz val="8"/>
        <rFont val="Arial"/>
        <family val="2"/>
      </rPr>
      <t>Fiduciary-Agency</t>
    </r>
  </si>
  <si>
    <r>
      <rPr>
        <sz val="8"/>
        <rFont val="Arial"/>
        <family val="2"/>
      </rPr>
      <t>Fiduciary-Investment</t>
    </r>
  </si>
  <si>
    <r>
      <rPr>
        <sz val="8"/>
        <rFont val="Arial"/>
        <family val="2"/>
      </rPr>
      <t>Fiduciary-Pension</t>
    </r>
  </si>
  <si>
    <r>
      <rPr>
        <sz val="8"/>
        <rFont val="Arial"/>
        <family val="2"/>
      </rPr>
      <t>Fiduciary-Schools</t>
    </r>
  </si>
  <si>
    <r>
      <rPr>
        <sz val="8"/>
        <rFont val="Arial"/>
        <family val="2"/>
      </rPr>
      <t>Fiduciary</t>
    </r>
  </si>
  <si>
    <r>
      <rPr>
        <sz val="8"/>
        <rFont val="Arial"/>
        <family val="2"/>
      </rPr>
      <t>Flood</t>
    </r>
  </si>
  <si>
    <r>
      <rPr>
        <sz val="8"/>
        <rFont val="Arial"/>
        <family val="2"/>
      </rPr>
      <t>First 5</t>
    </r>
  </si>
  <si>
    <r>
      <rPr>
        <sz val="8"/>
        <rFont val="Arial"/>
        <family val="2"/>
      </rPr>
      <t>Housing</t>
    </r>
  </si>
  <si>
    <r>
      <rPr>
        <sz val="8"/>
        <rFont val="Arial"/>
        <family val="2"/>
      </rPr>
      <t>IHSS</t>
    </r>
  </si>
  <si>
    <r>
      <rPr>
        <sz val="8"/>
        <rFont val="Arial"/>
        <family val="2"/>
      </rPr>
      <t>Parks</t>
    </r>
  </si>
  <si>
    <r>
      <rPr>
        <sz val="8"/>
        <rFont val="Arial"/>
        <family val="2"/>
      </rPr>
      <t>RDA</t>
    </r>
  </si>
  <si>
    <r>
      <rPr>
        <sz val="8"/>
        <rFont val="Arial"/>
        <family val="2"/>
      </rPr>
      <t>Waste</t>
    </r>
  </si>
  <si>
    <t>Row Labels</t>
  </si>
  <si>
    <t>Grand Total</t>
  </si>
  <si>
    <t>Sum of Amount</t>
  </si>
  <si>
    <t>Total Funds</t>
  </si>
  <si>
    <t>Total Funds with Borrowing Restrictions</t>
  </si>
  <si>
    <r>
      <rPr>
        <b/>
        <sz val="9"/>
        <rFont val="Arial"/>
        <family val="2"/>
      </rPr>
      <t>General Fund Balance</t>
    </r>
  </si>
  <si>
    <t>Funds</t>
  </si>
  <si>
    <t>General Fund Balance</t>
  </si>
  <si>
    <t xml:space="preserve"> Amount</t>
  </si>
  <si>
    <t>Summary of Funds Available for Borrowing</t>
  </si>
  <si>
    <t xml:space="preserve">Total Expected Inflows </t>
  </si>
  <si>
    <t>Total Expected Outflows</t>
  </si>
  <si>
    <t>Expected Inflows next 2 weeks:</t>
  </si>
  <si>
    <t>Expected Outflows next 2 weeks:</t>
  </si>
  <si>
    <t>Cash Accounts</t>
  </si>
  <si>
    <t>Total Cash in County Treasury</t>
  </si>
  <si>
    <t xml:space="preserve">Cash </t>
  </si>
  <si>
    <t>Restricted Cash</t>
  </si>
  <si>
    <t>Imprest Cash</t>
  </si>
  <si>
    <t>Investments In Lieu Of Cash</t>
  </si>
  <si>
    <t>Account Name</t>
  </si>
  <si>
    <t xml:space="preserve">Pool Contribution </t>
  </si>
  <si>
    <r>
      <rPr>
        <sz val="12"/>
        <rFont val="Calibri"/>
        <family val="2"/>
      </rPr>
      <t>Interest Not to GF</t>
    </r>
  </si>
  <si>
    <t>Interest to GF</t>
  </si>
  <si>
    <t xml:space="preserve">Pool </t>
  </si>
  <si>
    <t>Total Available Funds for Borrowing</t>
  </si>
  <si>
    <t>Cemetery</t>
  </si>
  <si>
    <t>Fiduciary-Agency</t>
  </si>
  <si>
    <t>Fiduciary-Investment</t>
  </si>
  <si>
    <t>Fiduciary-Pension</t>
  </si>
  <si>
    <t>Fiduciary-Schools</t>
  </si>
  <si>
    <t>Pool Cash Summary Report by Pool Contribution</t>
  </si>
  <si>
    <t xml:space="preserve"> Pool Contribution </t>
  </si>
  <si>
    <t xml:space="preserve"> Interest to GF</t>
  </si>
  <si>
    <t xml:space="preserve"> Interest Not to GF</t>
  </si>
  <si>
    <t>Fire Department- Fire Protection Revenue from City of Temecula.</t>
  </si>
  <si>
    <t>Funds Available Funds for Borrowing</t>
  </si>
  <si>
    <t>Summary of Funds Available for Borrowing:</t>
  </si>
  <si>
    <t>RDV Property Tax Trust Fund</t>
  </si>
  <si>
    <t>General Fund (Subfund)</t>
  </si>
  <si>
    <t>Deferred Compensation</t>
  </si>
  <si>
    <t>Total</t>
  </si>
  <si>
    <t>MCARC</t>
  </si>
  <si>
    <t>Sheriff Department - Contractual Revenue from City of Lake Elsinore.</t>
  </si>
  <si>
    <t xml:space="preserve">Annually </t>
  </si>
  <si>
    <t>Bi-Annually</t>
  </si>
  <si>
    <t>Other Miscellaneous Expenditures</t>
  </si>
  <si>
    <t>Interfund Allocation</t>
  </si>
  <si>
    <t>WMARC</t>
  </si>
  <si>
    <t>j-44</t>
  </si>
  <si>
    <t>Auditor Controller Property Tax - Federal Revenue for Payment in Lieu of Taxes.</t>
  </si>
  <si>
    <t>Fiduciary</t>
  </si>
  <si>
    <t>This transaction transfers SB163 WrapAround Funding to Behavioral Health to cover qualifying expenditures for the referenced quarter.</t>
  </si>
  <si>
    <t>Cash With Fiscal Agent</t>
  </si>
  <si>
    <t>Fire Department - Fire Protection Revenue from City of Perris.</t>
  </si>
  <si>
    <t>Ben J. Benoit County Auditor Controller</t>
  </si>
  <si>
    <t>Tanya S. Harris, DPA, CPA Assistant County Auditor Controller</t>
  </si>
  <si>
    <t>Enterprise Funds (Clinics)</t>
  </si>
  <si>
    <t>Enterprise Funds (Hospital)</t>
  </si>
  <si>
    <t xml:space="preserve">Auditor Controller's Office-Cash Management Report as of </t>
  </si>
  <si>
    <t>Executive Office - TRANS Revenue.</t>
  </si>
  <si>
    <t>Account Number</t>
  </si>
  <si>
    <t>Funds with a Negative Balance over $1M</t>
  </si>
  <si>
    <t>Fund Name</t>
  </si>
  <si>
    <t>Fund No.</t>
  </si>
  <si>
    <t>Fire Department - Fire Protection Revenue from City of Menifee.</t>
  </si>
  <si>
    <t>Total Funds Available For Borrowing</t>
  </si>
  <si>
    <t>Total Negative Funds</t>
  </si>
  <si>
    <t>Total Pool Contributions</t>
  </si>
  <si>
    <t>Total Cash Accounts</t>
  </si>
  <si>
    <t>DHARC</t>
  </si>
  <si>
    <t>PEARC</t>
  </si>
  <si>
    <t>Sheriff Department - Contractual Revenue from City of Indian Wells, City of Palm Desert, and City of Rancho Mirage.</t>
  </si>
  <si>
    <t>f-51</t>
  </si>
  <si>
    <t>g-51</t>
  </si>
  <si>
    <t>AR02560490</t>
  </si>
  <si>
    <t xml:space="preserve">Sheriff Department - Contractual Revenue from City of Jurupa, Palm Springs USD, Jurupa USD, and Jurupa Community Services District. </t>
  </si>
  <si>
    <t>AR02560864</t>
  </si>
  <si>
    <t>AR02560865</t>
  </si>
  <si>
    <t>Sheriff Department - Contractual Revenue from City of San Jacinto, Hemet Unified School District, and Soboba Band of Luiseño Indians.</t>
  </si>
  <si>
    <t>h-51</t>
  </si>
  <si>
    <t>AP02561493</t>
  </si>
  <si>
    <t>Mental Health issued 34 warrants. Amounts of warrants range from $4.95 to $270.4k.</t>
  </si>
  <si>
    <t>i-51</t>
  </si>
  <si>
    <t>AP02561845</t>
  </si>
  <si>
    <t>AP02561973</t>
  </si>
  <si>
    <t>AR02561724</t>
  </si>
  <si>
    <t>Department of Public Social Services issued 3 warrants. Amounts of warrants range from $95.45 to $4.5M. Payment for March 2024 IHSS Health Benefits in the amount of $4.5M. Voucher DPARC 00205942.</t>
  </si>
  <si>
    <t>Registrar of Voters issued 3 warrants. Amount of warrants range from $470 to $1.1M. Payment to Pro Document Solutions Inc. in the amount of $1.1M. Voucher RVARC 00052344.</t>
  </si>
  <si>
    <t>j-51</t>
  </si>
  <si>
    <t>AR02562140</t>
  </si>
  <si>
    <t>AR02562142</t>
  </si>
  <si>
    <t>AR02562145</t>
  </si>
  <si>
    <t>AR02562129</t>
  </si>
  <si>
    <t>0002561779</t>
  </si>
  <si>
    <t xml:space="preserve">Fire Department- Fire Protection Revenue from Elsinore. </t>
  </si>
  <si>
    <t xml:space="preserve">Fire Department- Fire Protection Revenue from Beaumont. </t>
  </si>
  <si>
    <t xml:space="preserve">Mental Health-Federal Medical Part A Revenue, and Other Aid to Health. </t>
  </si>
  <si>
    <t xml:space="preserve">Sheriff Department - Contractual Revenue from City of Canyon Lake, Lake Elsinore School District, and City of Lake Elsinore. </t>
  </si>
  <si>
    <t>FMMLBR1070</t>
  </si>
  <si>
    <t>MAINT Labor Mar 2024</t>
  </si>
  <si>
    <t>k-51</t>
  </si>
  <si>
    <t>AP02562677</t>
  </si>
  <si>
    <t>AR02562542</t>
  </si>
  <si>
    <t>0002561202</t>
  </si>
  <si>
    <t>FLEET MONTHLY BILLING PER 8 FEBRUARY FY24.</t>
  </si>
  <si>
    <t>Fire Department issued 42 warrants. Amounts of warrants range from $16.78 to $68.4M. $68.4M Payment  to State of California Department of Forestry 2nd Quarter FY24 Period: October 1, 2023 to December 31, 2023. Voucher FPARC 00405327.</t>
  </si>
  <si>
    <t xml:space="preserve">Sheriff Department - Contractual Revenue from City of Rancho Mirage, City of Indian Wells, City of La Quinta, and CHP Academy - South. </t>
  </si>
  <si>
    <t>l-51</t>
  </si>
  <si>
    <t>AP02563341</t>
  </si>
  <si>
    <t>0002559560</t>
  </si>
  <si>
    <t>0002560838</t>
  </si>
  <si>
    <t>0002558954</t>
  </si>
  <si>
    <t>0002561684</t>
  </si>
  <si>
    <t>0002558955</t>
  </si>
  <si>
    <t>Advance to Revenue-March 2024</t>
  </si>
  <si>
    <t>0002561596</t>
  </si>
  <si>
    <t>0002561350</t>
  </si>
  <si>
    <t>Reclass Gen Fund Expenses to AB109 Fund 11167 FY23-24 Oct.-Dec.2023.</t>
  </si>
  <si>
    <t>Fire Department issued 7 warrants. Amounts of warrants range from $18.30 to $1.3M. Payment to the City of Corona per Cooperative Agreement  in the amount of $1.3M. Voucher FPARC 00405384.</t>
  </si>
  <si>
    <t>m-51</t>
  </si>
  <si>
    <t>AP02563742</t>
  </si>
  <si>
    <t>AP02563844</t>
  </si>
  <si>
    <t>AP02563843</t>
  </si>
  <si>
    <t>AP02563760</t>
  </si>
  <si>
    <t>AR02563610</t>
  </si>
  <si>
    <t>AR02563598</t>
  </si>
  <si>
    <t>AR02563617</t>
  </si>
  <si>
    <t>0002562512</t>
  </si>
  <si>
    <t>ADMIN FEE CHARGE FOR THE 3RD QTR 1/1/2024-3/31/2024 FY23/24</t>
  </si>
  <si>
    <t>Department of Executive Office issued 7 warrants amounts ranging between $65 to $6.2M. $6.2M payment for FY 23-24 Executive Office Courts MOE 3rd Quarter State Payment. Voucher EOARC 00048593.</t>
  </si>
  <si>
    <t>Mental Health issued 56 warrants. Amounts of warrants range from $48.51 to $929k.</t>
  </si>
  <si>
    <t>Mental Health issued 175 warrants. Amounts of warrants range from $19.23 to $522.3k.</t>
  </si>
  <si>
    <t>Facilities Management issued 29 warrants. Amounts of warrants range from $18.12 to $606.6k.</t>
  </si>
  <si>
    <t xml:space="preserve">Fire Department - Fire Protection Revenue from City of Rancho Mirage and City of Menifee. </t>
  </si>
  <si>
    <t>Department of Public Health - State Health Grants via TCR HSARC 134346 and 134352.</t>
  </si>
  <si>
    <t>n-51</t>
  </si>
  <si>
    <t>AP02564281</t>
  </si>
  <si>
    <t>AP02564405</t>
  </si>
  <si>
    <t>AP02564366</t>
  </si>
  <si>
    <t>AP02564367</t>
  </si>
  <si>
    <t>AR02564153</t>
  </si>
  <si>
    <t>0002560813</t>
  </si>
  <si>
    <t>0002557140</t>
  </si>
  <si>
    <t>0002556895</t>
  </si>
  <si>
    <t>FMREAL0740</t>
  </si>
  <si>
    <t>ITACCS2409</t>
  </si>
  <si>
    <t>0424 Payable Lease</t>
  </si>
  <si>
    <t>RCIT Enterprise Svcs March 2024
M.O. 3.23, 1-24-2023</t>
  </si>
  <si>
    <t>FY23/24 AB 109 2nd Quarter Claim.</t>
  </si>
  <si>
    <t>Department of Executive Office issued 9 warrants amounts ranging between $68.55 to $1.6M. Payments for March JPA Revenue Sharing agreement in the amount of $1.6M to the City of Moreno Valley, $1.2M to the City of Riverside, and $1.2M to the City of Perris. Vouchers EOARC 00048659, 00048660, and 00048661.</t>
  </si>
  <si>
    <t>Registrar of Voters issued 8 warrants. Amount of warrants range from $450.5 to $2.4M. Payment to Consolidated Printers Inc. in the amount of $2.4M. Voucher RVARC 00052382.</t>
  </si>
  <si>
    <t>Mental Health issued 113 warrants. Amounts of warrants range from $4 to $257.5k.</t>
  </si>
  <si>
    <t>Mental Health issued 38 warrants. Amounts of warrants range from $23.11 to $392.4k.</t>
  </si>
  <si>
    <t>Fire Department - Fire Protection Revenue from City of Indio, Idyllwild, and State of California.</t>
  </si>
  <si>
    <t>o-51</t>
  </si>
  <si>
    <t>AR02564608</t>
  </si>
  <si>
    <t>AR02564654</t>
  </si>
  <si>
    <t>AR02564672</t>
  </si>
  <si>
    <t>AR02564597</t>
  </si>
  <si>
    <t>0002561587</t>
  </si>
  <si>
    <t>Fire Department- Fire Protection Revenue from DHS, Banning, and Jurupa Valley.</t>
  </si>
  <si>
    <t xml:space="preserve">Sheriff Department - Contractual Reveue from City of Eastvale, City of Norco, City of Jurupa Valley, Corona-Norco Unified School District, Moreno Valley High School, and Jurupa Unified School District. </t>
  </si>
  <si>
    <t>p-51</t>
  </si>
  <si>
    <t>AP02565214</t>
  </si>
  <si>
    <t>AP02565213</t>
  </si>
  <si>
    <t>AR02565070</t>
  </si>
  <si>
    <t>AR02565085</t>
  </si>
  <si>
    <t>INTQ224ACR</t>
  </si>
  <si>
    <t>0002557770</t>
  </si>
  <si>
    <t>0002558949</t>
  </si>
  <si>
    <t>0002564035</t>
  </si>
  <si>
    <t>0002564034</t>
  </si>
  <si>
    <t>FY2324 Realignment 2011 and MHSA Cover - Feb 2024</t>
  </si>
  <si>
    <t>Q2 2024 INT ACRL.</t>
  </si>
  <si>
    <t>Mental Health issued 17 warrants. Amounts of warrants range from $30.40 to $461.8k.</t>
  </si>
  <si>
    <t>Mental Health issued 116 warrants. Amounts of warrants range from $8.16 to $393.5k.</t>
  </si>
  <si>
    <t>Fire Department- Fire Protection Revenue from City of San Jacinto, City of Perris, and State of California.</t>
  </si>
  <si>
    <t>q-51</t>
  </si>
  <si>
    <t>AP02565738</t>
  </si>
  <si>
    <t>AR02565514</t>
  </si>
  <si>
    <t>Registrar of Voters issued 1,322 warrants. Amount of warrants range from $40 to $2.8k.</t>
  </si>
  <si>
    <t>Mental Health Revenue - Federal Medi-Cal Part B, Federal Life Support-CY , Insurance Fees, Mental Health Services, Other Forfeitures, and Penalties via TCR MHARC 12658.</t>
  </si>
  <si>
    <t>Mental Health Revenue - Federal Medical Block Grants, Probates Fees, Insurance Fees, Mental Health Services, Other Forfeitures, and Penalties via TCR MHARC 12664 and 12665.</t>
  </si>
  <si>
    <t>r-51</t>
  </si>
  <si>
    <t>AP02566064</t>
  </si>
  <si>
    <t>AP02566063</t>
  </si>
  <si>
    <t>0002562108</t>
  </si>
  <si>
    <t>0002564043</t>
  </si>
  <si>
    <t>0002564039</t>
  </si>
  <si>
    <t>0002563985</t>
  </si>
  <si>
    <t>FY 23/24 March 2024 Tax Fund Transfer.</t>
  </si>
  <si>
    <t>Mental Health issued 10 warrants. Amounts of warrants range from $2.6k to $504.9k.</t>
  </si>
  <si>
    <t>Mental Health issued 26 warrants. Amounts of warrants range from $38.5k to $1.1M. Payment to MFI Recovery Venter in the amount of $1.1M. Voucher MHARC 00314286.</t>
  </si>
  <si>
    <t>s-51</t>
  </si>
  <si>
    <t>AP02566379</t>
  </si>
  <si>
    <t>AP02566418</t>
  </si>
  <si>
    <t>AR02566290</t>
  </si>
  <si>
    <t>AR02566289</t>
  </si>
  <si>
    <t>AR02566286</t>
  </si>
  <si>
    <t>0002565798</t>
  </si>
  <si>
    <t>0002564476</t>
  </si>
  <si>
    <t>0002565335</t>
  </si>
  <si>
    <t>CALSAWS OASIS JE for 4/1/2024.</t>
  </si>
  <si>
    <t>CALSAWS OASIS JE for 3/27/2024.</t>
  </si>
  <si>
    <t>CALSAWS OASIS JE for 3/28/2024.</t>
  </si>
  <si>
    <t>Fire Department issued 35 warrants. Amounts of warrants range from $13.01 to $57.6M. $57.6M Payment to State of California Department of Forestry 4th Quarter FY24 Period: April 1, 2024 to June 30, 2024. Voucher FPARC 00405798.</t>
  </si>
  <si>
    <t>Mental Health issued 41 warrants. Amounts of warrants range from $15 to $737.3k.</t>
  </si>
  <si>
    <t>Department of Public Health - State Health Grants via TCR's HSARC 134370 and 134372.</t>
  </si>
  <si>
    <t>Department of Public Health - State Health Grants via TCR's HSARC 134368 and 134371.</t>
  </si>
  <si>
    <t>Fire Department- Fire Protection Revenue from City of Eastvale and Mountain Communities.</t>
  </si>
  <si>
    <t>t-51</t>
  </si>
  <si>
    <t>AP02566695</t>
  </si>
  <si>
    <t>AR02566635</t>
  </si>
  <si>
    <t>0002564018</t>
  </si>
  <si>
    <t>0002566230</t>
  </si>
  <si>
    <t>0002564552</t>
  </si>
  <si>
    <t>0002566257</t>
  </si>
  <si>
    <t>PSAF - 1/2% Sales Tax Distribution March 2024.</t>
  </si>
  <si>
    <t>New Allocation. Realignment 1 - Transfer March 24 Realignment Revenue for Sales Tax to Soc. Services - GF Operating Accounts.</t>
  </si>
  <si>
    <t>Realignment 2 - Transfer March 2024 Sales Tax, State Hospital Offset and Managed Care Offset from Mental Health sub-fund deferred revenue account to GF operating account..</t>
  </si>
  <si>
    <t>Trial Court Security for March 2024..</t>
  </si>
  <si>
    <t>0002566241</t>
  </si>
  <si>
    <t>Realignment - Transfer March 2024 Realignment Revenue for VLF to Health GF Operating Accounts..</t>
  </si>
  <si>
    <t>Department of Public Social Services issued 10 warrants. Amounts of warrants range from $8.78 to $7.9M. Payment for April 2024 IHSS MOE Billing in the amount of $7.9M. Voucher DPARC 00206249.</t>
  </si>
  <si>
    <t>Fire Department- Fire Protection Revenue from City of Indio and City of Wildomar.</t>
  </si>
  <si>
    <t>u-51</t>
  </si>
  <si>
    <t>0002565780</t>
  </si>
  <si>
    <t>0002565578</t>
  </si>
  <si>
    <t>v-51</t>
  </si>
  <si>
    <t>AP02567968</t>
  </si>
  <si>
    <t>AP02567932</t>
  </si>
  <si>
    <t>AP02568048</t>
  </si>
  <si>
    <t>AP02568049</t>
  </si>
  <si>
    <t>Department of Public Social Services issued 1 warrant in the amount of $4.6M. Payment for April 2024 IHSS Health Benefits. Voucher DPARC 00206337.</t>
  </si>
  <si>
    <t xml:space="preserve">Assessors Department issued 2 warrants. Amounts of warrants range from $184.95 to $3.2M. Payment for SB2 Fee FY23-24 3rd quarter in the amount of $3.2M. Voucher ASARC 00061309. </t>
  </si>
  <si>
    <t xml:space="preserve">Mental Health issued 53 warrants. Amounts of warrants range from $14.74 to $1M. Payment to MFI Recover Center in the amount of $1M. Voucher MHARC 00314715. </t>
  </si>
  <si>
    <t>Mental Health issued 12 warrants. Amounts of warrants range from $247.29 to $337.7k.</t>
  </si>
  <si>
    <t>w-51</t>
  </si>
  <si>
    <t>00R2562108</t>
  </si>
  <si>
    <t>0002565873</t>
  </si>
  <si>
    <t>0002566145</t>
  </si>
  <si>
    <t>00C2562108</t>
  </si>
  <si>
    <t>0002567877</t>
  </si>
  <si>
    <t>0002565778</t>
  </si>
  <si>
    <t>RCRMC PAYOR MOU APRIL 23/24.</t>
  </si>
  <si>
    <t>GF Contribution to Housing Workforce Solutions
Continuum of Care - Homeless
2nd &amp; 3rd Quarters FY23/24.</t>
  </si>
  <si>
    <t>GL Export-FY 23-24 CY SEC SA2.</t>
  </si>
  <si>
    <t>x-51</t>
  </si>
  <si>
    <t>AP02568646</t>
  </si>
  <si>
    <t>AP02568738</t>
  </si>
  <si>
    <t>Department of Executive Office issued 5 warrants amounts ranging between $423.81 to $6.2M. $6.2M payment for FY 23-24 Executive Office Courts MOE 4th Quarter State Payment. Voucher EOARC 00048830.</t>
  </si>
  <si>
    <t>Sheriff Department issued 103 warrants. Amounts of warrants range from $6.26 to $99.9k.</t>
  </si>
  <si>
    <t>y-51</t>
  </si>
  <si>
    <t>AP02569054</t>
  </si>
  <si>
    <t>AP02568951</t>
  </si>
  <si>
    <t>AR02568886</t>
  </si>
  <si>
    <t>0002567818</t>
  </si>
  <si>
    <t>GF UCI Contribution to TLMA District 1-Good Hope\Lakeland Village Paving Projects BOS 3.1 04/02/2024 ID# 24559 FY24</t>
  </si>
  <si>
    <t>Mental Health issued 20 warrants. Amounts of warrants range from $163.62 to $541.8k.</t>
  </si>
  <si>
    <t xml:space="preserve">Department of Public Social Services issued 7 warrants. Amounts of warrants range from $125 to $681.9k. </t>
  </si>
  <si>
    <t>Mental Health Revenue - Federal Medi-Cal Part A, Federal Medi-Cal Part QA-C, California-DAS Regular-103 M/C-G, California Other Aid to Health, Probate Fees, Mental Health Services, Other Forfeitures, and Penalties via TCR MHARC 12671.</t>
  </si>
  <si>
    <t>z-51</t>
  </si>
  <si>
    <t>AR02569289</t>
  </si>
  <si>
    <t>0002566896</t>
  </si>
  <si>
    <t>FMPBH24091</t>
  </si>
  <si>
    <t>FY23/24-Mar-Proj Billings.</t>
  </si>
  <si>
    <t>FY2324 Realignment 2011 and MHSA Cover - March 2024.</t>
  </si>
  <si>
    <t>Mental Health Revenue - Federal Block Grants via TCR MHARC 12679.</t>
  </si>
  <si>
    <t>537080, 537280</t>
  </si>
  <si>
    <t>a-52</t>
  </si>
  <si>
    <t>0002569257</t>
  </si>
  <si>
    <t>Advance to Revenue-April 2024.</t>
  </si>
  <si>
    <t>b-52</t>
  </si>
  <si>
    <t>AP02570348</t>
  </si>
  <si>
    <t>AR02570127</t>
  </si>
  <si>
    <t>AR02570160</t>
  </si>
  <si>
    <t>AR02570122</t>
  </si>
  <si>
    <t>0002565868</t>
  </si>
  <si>
    <t>Mental Health issued 88 warrants. Amounts of warrants range from $14.68 to $891.8k.</t>
  </si>
  <si>
    <t>Department of Public Health - State Health Grants via TCR's HSARC 134393 and 134394.</t>
  </si>
  <si>
    <t>Sheriff Department - Contractual Revenue from City of Temecula, City of Eastvale, Jurupa Community Services District, and Murrieta Valley Unified School District.</t>
  </si>
  <si>
    <t>Sheriff Department - Contractual Revenue from City of Riverside, City of Perris, City of Rialto, and City of Blythe Animal Services.</t>
  </si>
  <si>
    <t>c-52</t>
  </si>
  <si>
    <t>AP02570652</t>
  </si>
  <si>
    <t>FMREAL0743</t>
  </si>
  <si>
    <t>ITACCS2410</t>
  </si>
  <si>
    <t>RCIT Enterprise Svcs April 2024 M.O. 3.23, 1-24-2023.</t>
  </si>
  <si>
    <t>0524 Payable Lease.</t>
  </si>
  <si>
    <t>Mental Health issued 29 warrants. Amounts of warrants range from $15.07 to $488.4k.</t>
  </si>
  <si>
    <t>d-52</t>
  </si>
  <si>
    <t>AP02571068</t>
  </si>
  <si>
    <t>AP02571067</t>
  </si>
  <si>
    <t>AR02570842</t>
  </si>
  <si>
    <t>AR02570845</t>
  </si>
  <si>
    <t>0002568519</t>
  </si>
  <si>
    <t>0002565336</t>
  </si>
  <si>
    <t>0002565369</t>
  </si>
  <si>
    <t>0002569116</t>
  </si>
  <si>
    <t>0002568933</t>
  </si>
  <si>
    <t>Mental Health issued 48 warrants. Amounts of warrants range from $10.54 to $862.1k.</t>
  </si>
  <si>
    <t>Mental Health issued 178 warrants. Amounts of warrants range from $6.45 to $323.5k.</t>
  </si>
  <si>
    <t>Fire Department- Fire Protection Revenue from City of Indio, City of Calimesa, and State of California.</t>
  </si>
  <si>
    <t>Department of Public Health - State Health Grants via TCR's HSARC 134395 and 134399.</t>
  </si>
  <si>
    <t>e-52</t>
  </si>
  <si>
    <t>AP02571528</t>
  </si>
  <si>
    <t>AR02571342</t>
  </si>
  <si>
    <t>FMMLBR1071</t>
  </si>
  <si>
    <t>0002569237</t>
  </si>
  <si>
    <t>MAINT Labor Apr 2024.</t>
  </si>
  <si>
    <t>FLEET MONTHLY BILLING PER 9 MARCH FY24.</t>
  </si>
  <si>
    <t>Mental Health issued 44 warrants. Amounts of warrants range from $2 to $1.2M. Payments in the amount of $1.1M to Olive Crest via voucher MHARC 00315278 and $1.2M to MFI Recovery Center via voucher MHARC 00314623.</t>
  </si>
  <si>
    <t>f-52</t>
  </si>
  <si>
    <t>AR02571779</t>
  </si>
  <si>
    <t>0002571203</t>
  </si>
  <si>
    <t>FY23/24 Prop. 172 Revenue Allocation for Public Safety-Contribution from sub fund 11039.</t>
  </si>
  <si>
    <t>AR02572229</t>
  </si>
  <si>
    <t>AR02572224</t>
  </si>
  <si>
    <t>0002566914</t>
  </si>
  <si>
    <t>0002568521</t>
  </si>
  <si>
    <t>0002571162</t>
  </si>
  <si>
    <t xml:space="preserve">Auditor-Controller's Office - State Board of Equalization - Local Sales Tax Revenue. </t>
  </si>
  <si>
    <t>Sheriff Department - Contractual Revenue from City of Norco, Jurupa Valley, and Jurupa Unified School District.</t>
  </si>
  <si>
    <t>Reclass Gen Fund Expenses to AB109 Fund 11167 FY23-24 Jan - Mar. 2024.</t>
  </si>
  <si>
    <t xml:space="preserve">Quartely </t>
  </si>
  <si>
    <t>FY24 ISF Property Insurance 4th Qtr.</t>
  </si>
  <si>
    <t>AP02572757</t>
  </si>
  <si>
    <t>AR02572614</t>
  </si>
  <si>
    <t>0002570486</t>
  </si>
  <si>
    <t>0002570059</t>
  </si>
  <si>
    <t>Reverses initial redistribution JE 0002558954 posted on 3/8/2024. Pending documents have now been received/processed providing detailed advance/settlement information and this transaction redistributes accordingly.</t>
  </si>
  <si>
    <t>0002569108</t>
  </si>
  <si>
    <t xml:space="preserve">Mental Health issued 10 warrants. Amounts of warrants range from $849.96 to $369.1k. </t>
  </si>
  <si>
    <t>AP02573101</t>
  </si>
  <si>
    <t>AR02572931</t>
  </si>
  <si>
    <t>AR02572996</t>
  </si>
  <si>
    <t>0002567855</t>
  </si>
  <si>
    <t>0002570480</t>
  </si>
  <si>
    <t>0002570095</t>
  </si>
  <si>
    <t>0002569156</t>
  </si>
  <si>
    <t>Reverses initial redistribution JE 0002564034 posted on 3/27/2024. Pending documents have now been received/processed providing detailed advance/settlement information and this transaction redistributes accordingly.</t>
  </si>
  <si>
    <t>0002566844</t>
  </si>
  <si>
    <t>0002566971</t>
  </si>
  <si>
    <t>0002572873</t>
  </si>
  <si>
    <t>Probation Department - Revenue from the Superior Court of California Via TCR PRARC 3434 and PRARC 3436.</t>
  </si>
  <si>
    <t xml:space="preserve">Mental Health issued 19 warrants. Amounts of warrants range from $100 to $386.5k. </t>
  </si>
  <si>
    <t>FY24 ISF Worker's Compensation 4th Qtr.</t>
  </si>
  <si>
    <t>FY24 ISF General and Auto Liability 4th Qtr.</t>
  </si>
  <si>
    <t>CALSAWS OASIS JE for 4/27/2024.</t>
  </si>
  <si>
    <t>AP02573471</t>
  </si>
  <si>
    <t>AR02573291</t>
  </si>
  <si>
    <t>AR02573369</t>
  </si>
  <si>
    <t>0002560822</t>
  </si>
  <si>
    <t>FY24 Unclaimed Property Payments/Refunds BOS 5/05/24 Agenda Item 2.7.</t>
  </si>
  <si>
    <t>Facilities Management issued 4 warrants. Amounts of warrants range from $141.38 to $1M. Payments in the amount of $1M to Southern California Edison via voucher FMARC 00635859.</t>
  </si>
  <si>
    <t>Sheriff Department - Contractual Revenue from Southern Coachella Valley, City of Temecula, Temecula Valley Unified School District, and Murrieta Valley Unified School District.</t>
  </si>
  <si>
    <t>RUHS - Medical Clinic - Revenue for Behavioral Health Grants via TCR MCARC 9023.</t>
  </si>
  <si>
    <t>AR02573736</t>
  </si>
  <si>
    <t>AR02573731</t>
  </si>
  <si>
    <t>0002572161</t>
  </si>
  <si>
    <t>Moreno Valley RDA Pass-Thru to General Fund FY23-24.</t>
  </si>
  <si>
    <t>Mental Health Revenue - Federal Block Grants, Federal Medi-Cal Part A, Federal Medi-Cal Part B, California-DAS Regular-103 M/C-G, Federal-DAS Regular-102 M/C-F, Federal-DAS Regular-103 M/C-F, California Other Aid to Health, Probate Fees, Other Forfeitures, and Penalties via TCR MHARC 12691.</t>
  </si>
  <si>
    <t>Mental Health Revenue - Federal -SAPT, Federal - Life Support CY, and Mental Health Services TCR MHARC 12683.</t>
  </si>
  <si>
    <t>AP02574165</t>
  </si>
  <si>
    <t>0002573197</t>
  </si>
  <si>
    <t>0002573664</t>
  </si>
  <si>
    <t>0002572875</t>
  </si>
  <si>
    <t>0002572552</t>
  </si>
  <si>
    <t>0002573685</t>
  </si>
  <si>
    <t>0002573978</t>
  </si>
  <si>
    <t>PSAF - 1/2% Sales Tax Distribution April 2024.</t>
  </si>
  <si>
    <t>New Allocation. Realignment 1 - Transfer April 24 Realignment Revenue for Sales Tax to Soc. Services - GF Operating Accounts.</t>
  </si>
  <si>
    <t>Trial Court Security for April 2024.</t>
  </si>
  <si>
    <t>Realignment 2 - Transfer April 2024 Sales Tax, State Hospital Offset and Managed Care Offset from Mental Health sub-fund deferred revenue account to GF operating account.</t>
  </si>
  <si>
    <t>GL Export: 04/30/2024 Business Date.</t>
  </si>
  <si>
    <t>ON TCR MCARC 9008, RUHS claimed monies that were for the Executive Office for Tobacco Tax Settlement. Correcting accounting string from MCARC 782000 40050 4300100000 To Executive Office Accounting String 782000 10000 1101000000.</t>
  </si>
  <si>
    <t>DPSS issued 6 warrants. Amounts of warrants range from $42.24 to $7.9M. Payment for May 2024 IHSS MOE Billing in the amount of $7.9M. Voucher DPARC 00206736.</t>
  </si>
  <si>
    <t>0002573162</t>
  </si>
  <si>
    <t>0002573024</t>
  </si>
  <si>
    <t>AP02574731</t>
  </si>
  <si>
    <t xml:space="preserve">Mental Health issued 16 warrants. Amounts of warrants range from $180 to $479.2k. </t>
  </si>
  <si>
    <t>AP02575075</t>
  </si>
  <si>
    <t>AR02574926</t>
  </si>
  <si>
    <t xml:space="preserve">Mental Health issued 30 warrants. Amounts of warrants range from $110 to $553.8k. </t>
  </si>
  <si>
    <t>Sheriff Department - Contractual Revenue from City of Rancho Mirage, City of San Jacinto, and SoCal Arena Company.</t>
  </si>
  <si>
    <t>g-52</t>
  </si>
  <si>
    <t>h-52</t>
  </si>
  <si>
    <t>i-52</t>
  </si>
  <si>
    <t>j-52</t>
  </si>
  <si>
    <t>k-52</t>
  </si>
  <si>
    <t>l-52</t>
  </si>
  <si>
    <t>m-52</t>
  </si>
  <si>
    <t>n-52</t>
  </si>
  <si>
    <t>o-52</t>
  </si>
  <si>
    <t>AP02575569</t>
  </si>
  <si>
    <t>AP02575570</t>
  </si>
  <si>
    <t>AR02575372</t>
  </si>
  <si>
    <t>AR02575345</t>
  </si>
  <si>
    <t>0002572912</t>
  </si>
  <si>
    <t>0002573190</t>
  </si>
  <si>
    <t>0002574592</t>
  </si>
  <si>
    <t>0002573194</t>
  </si>
  <si>
    <t>0002573203</t>
  </si>
  <si>
    <t>0002573577</t>
  </si>
  <si>
    <t>0002574512</t>
  </si>
  <si>
    <t>0002573586</t>
  </si>
  <si>
    <t>0002574325</t>
  </si>
  <si>
    <t>INTQ324CSH</t>
  </si>
  <si>
    <t>0002573160</t>
  </si>
  <si>
    <t xml:space="preserve">Mental Health issued 73 warrants. Amounts of warrants range from $25.63 to $392k. </t>
  </si>
  <si>
    <t xml:space="preserve">Mental Health issued 24 warrants. Amounts of warrants range from $79.01 to $302.1k. </t>
  </si>
  <si>
    <t>Department of Public Health - State Health Grants via TCR's HSARC 134424 and 134427.</t>
  </si>
  <si>
    <t>Sheriff Department - Contractual Revenue from City of La Quinta and Desert Sands Unified School District.</t>
  </si>
  <si>
    <t>Q3 2024 INT CASH.</t>
  </si>
  <si>
    <t>GL Export CY SBE CS2.</t>
  </si>
  <si>
    <t>p-52</t>
  </si>
  <si>
    <t>AP02576559</t>
  </si>
  <si>
    <t>AR02576421</t>
  </si>
  <si>
    <t>AR02576420</t>
  </si>
  <si>
    <t>0002576112</t>
  </si>
  <si>
    <t>0002575719</t>
  </si>
  <si>
    <t>GL Export_FY 23-24 CY SUP APR.</t>
  </si>
  <si>
    <t>Advance to Revenue-May 2024.</t>
  </si>
  <si>
    <t>Department of Public Social Services issued 1 warrant in the amount of $1.9M. Payment to SDW Government Inc. in the amount of $1.9M. Voucher DPARC 00206828.</t>
  </si>
  <si>
    <t>Sheriff Department - Contractual Revenue from City of Palm Desert and Palm Springs Unified School District</t>
  </si>
  <si>
    <t>Sheriff Department - Contractual Revenue from City of San Jacinto and Riverside Community College District.</t>
  </si>
  <si>
    <t>q-52</t>
  </si>
  <si>
    <t>0002573631</t>
  </si>
  <si>
    <t>FY24 ISF General Support Services 4th Qtr.</t>
  </si>
  <si>
    <t>r-52</t>
  </si>
  <si>
    <t>AP02577821</t>
  </si>
  <si>
    <t>AR02577642</t>
  </si>
  <si>
    <t>AR02577645</t>
  </si>
  <si>
    <t>AR02577644</t>
  </si>
  <si>
    <t xml:space="preserve">Mental Health issued 28 warrants. Amounts of warrants range from $6.51 to $481.5k. </t>
  </si>
  <si>
    <t>Executive Office - Principal Trans Payment EOARC 13501.</t>
  </si>
  <si>
    <t>Fire Department - Fire Protection Revenue from City of Moreno Valley.</t>
  </si>
  <si>
    <t>Fire Department - Fire Protection Revenue from City of Palm Desert.</t>
  </si>
  <si>
    <t>s-52</t>
  </si>
  <si>
    <t>AP02578521</t>
  </si>
  <si>
    <t>AR02578413</t>
  </si>
  <si>
    <t>Department of Public Social Services issued 3 warrants. Amounts of warrants range from $2.9k to $4.9M. Payment for May 2024 IHSS Health Benefits in the amount of $4.9M. Voucher DPARC 00206968.</t>
  </si>
  <si>
    <t>Sheriff Department - Contractual Revenue from City of San Jacinto, Soboba Band of Luiseño Indians, and Hemet Unified School District.</t>
  </si>
  <si>
    <t>t-52</t>
  </si>
  <si>
    <t>AP02579105</t>
  </si>
  <si>
    <t>AR02578958</t>
  </si>
  <si>
    <t>AR02578931</t>
  </si>
  <si>
    <t>AR02578921</t>
  </si>
  <si>
    <t>0002577612</t>
  </si>
  <si>
    <t>0002577572</t>
  </si>
  <si>
    <t>0002578399</t>
  </si>
  <si>
    <t>0002577577</t>
  </si>
  <si>
    <t>0002575751</t>
  </si>
  <si>
    <t>0002577564</t>
  </si>
  <si>
    <t>0002577601</t>
  </si>
  <si>
    <t>0002577597</t>
  </si>
  <si>
    <t>0002578737</t>
  </si>
  <si>
    <t>0002578372</t>
  </si>
  <si>
    <t>0002575750</t>
  </si>
  <si>
    <t>0002575757</t>
  </si>
  <si>
    <t>0002576823</t>
  </si>
  <si>
    <t>0002576723</t>
  </si>
  <si>
    <t>0002574894</t>
  </si>
  <si>
    <t>0002576506</t>
  </si>
  <si>
    <t>0002576716</t>
  </si>
  <si>
    <t>FLEET MONTHLY BILLING PER 10 APRIL FY24</t>
  </si>
  <si>
    <t>GF Contribution to County of Riverside
Enterprise Solutions for Property Taxation (CREST)
Discretionary Net County Cost (NCC) 
FY 2023/24</t>
  </si>
  <si>
    <t>Fire Department issued 51 warrants. Amounts of warrants range from $8.34 to $1.3M. Payment to RIVCOMM Inc. in the amount of $1.3M. Voucher FPARC 00408203.</t>
  </si>
  <si>
    <t>Department of Public Health - State Health Grants via TCR's HSARC 134437 and 134442.</t>
  </si>
  <si>
    <t>Sheriff Department - Contractual Revenue from City of Rancho Mirage, DMV Investigations, and California Department of ABC.</t>
  </si>
  <si>
    <t>District Attorney - Revenue from Cal EMA VICTIM WITNESS, PUA-UI Anti Fraud, Victim Services (XC) Program, and Driving Under the Influence of Drugs.</t>
  </si>
  <si>
    <t>To correct TCR TTARC 47520 for accounting string 208100 11195 1400100000 To Board of Supervisors 72502 10000 1000100000 for Southern California Edison Franchise Fees.</t>
  </si>
  <si>
    <t>To correct TCR TTARC 47503 for accounting string 208100 11195 1400100000 to Board of Supervisors 725020 10000 1000100000 for SoCalGas Franchise Fees.</t>
  </si>
  <si>
    <t>u-52</t>
  </si>
  <si>
    <t>AP02579669</t>
  </si>
  <si>
    <t>AR02579436</t>
  </si>
  <si>
    <t>0002578919</t>
  </si>
  <si>
    <t>0002576335</t>
  </si>
  <si>
    <t>0002573906</t>
  </si>
  <si>
    <t>0002572872</t>
  </si>
  <si>
    <t>0002578309</t>
  </si>
  <si>
    <t>County of Riverside Hospital Project
Leasehold revenue Bonds (1997A &amp; 2012A)
FY 23/24 Debt Service Billing</t>
  </si>
  <si>
    <t>CALSAWS OASIS JE for 4/26/2024.</t>
  </si>
  <si>
    <t>GL Export - FY23-24 CY SEC SS2.</t>
  </si>
  <si>
    <t>RCRMC PAYOR MOU MAY 23/24.</t>
  </si>
  <si>
    <t>CALSAWS OASIS JE for 5/1/2024.</t>
  </si>
  <si>
    <t xml:space="preserve">Mental Health issued 95 warrants. Amounts of warrants range from $36.24 to $349.9k. </t>
  </si>
  <si>
    <t>Executive Office - State Apportionment Revenue for AB1869 Criminal Fees Backfill received via TCR EOARC 13504.</t>
  </si>
  <si>
    <t>v-52</t>
  </si>
  <si>
    <t>AP02580123</t>
  </si>
  <si>
    <t>AP02580124</t>
  </si>
  <si>
    <t>AR02579881</t>
  </si>
  <si>
    <t>0002578788</t>
  </si>
  <si>
    <t>Quartely</t>
  </si>
  <si>
    <t xml:space="preserve">Mental Health issued 129 warrants. Amounts of warrants range from $42 to $1.1M. Payments in the amount of $1.1M to MFI Recovery Center via voucher MHARC 00316930 for claims. </t>
  </si>
  <si>
    <t xml:space="preserve">Mental Health issued 28 warrants. Amounts of warrants range from $117 to $915k. </t>
  </si>
  <si>
    <t>Sheriff Department - Contractual Revenue from City of Perris.</t>
  </si>
  <si>
    <t>FY24 3rd Qtr OOC General Fund.
Revenue Distribution Jan - Mar 2024.</t>
  </si>
  <si>
    <t>w-52</t>
  </si>
  <si>
    <t>AR02580264</t>
  </si>
  <si>
    <t>AR02580261</t>
  </si>
  <si>
    <t>0002579387</t>
  </si>
  <si>
    <t>0002577582</t>
  </si>
  <si>
    <t>This transaction adjusts Protective Services Local Revenue Fund 2011 revenue for the receipt of Title XX funding to be used in lieu of 2011 Realignment funds.</t>
  </si>
  <si>
    <t>Auditor-Controller's Office - State Revenue from VLF Realignment and State Board of Equalization Local Sales Tax Revenue.</t>
  </si>
  <si>
    <t>x-52</t>
  </si>
  <si>
    <t>AP02580734</t>
  </si>
  <si>
    <t>AP02580733</t>
  </si>
  <si>
    <t>AR02580610</t>
  </si>
  <si>
    <t>AR02580546</t>
  </si>
  <si>
    <t>AR02580592</t>
  </si>
  <si>
    <t>AR02580559</t>
  </si>
  <si>
    <t>AR02580581</t>
  </si>
  <si>
    <t>AR02580548</t>
  </si>
  <si>
    <t>AR02580550</t>
  </si>
  <si>
    <t xml:space="preserve">Mental Health issued 54 warrants. Amounts of warrants range from $90 to $604.9k. </t>
  </si>
  <si>
    <t xml:space="preserve">Mental Health issued 116 warrants. Amounts of warrants range from $42.60 to $342.5k. </t>
  </si>
  <si>
    <t>Sheriff Department - Contractual Revenue from City of San Jacinto and U.S. Marshals Service.</t>
  </si>
  <si>
    <t>Sheriff Department - Contractual Revenue from City of Coachella and City of Moreno Valley.</t>
  </si>
  <si>
    <t>Mental Health - Revenue received for Federal-DAS-102M/C-F, Federal-DAS-103M/C-F, Federal Medi-Cal Part B, Federal Medi-Cal QA-C, Federal Life Support CY, Federal Medicare, California-DAS-102 M/C-G, California-DAS-103 M/C-G, California Other Aid to Health, and Mental Health Services.</t>
  </si>
  <si>
    <t>Fire Department - Fire Protection Revenue from City of Rancho Mirage.</t>
  </si>
  <si>
    <t xml:space="preserve">Agricultural Commission - FY2024 Mill Tax. </t>
  </si>
  <si>
    <t>Emergency Management Department - Revenue from American Medical Response Holdo inc.</t>
  </si>
  <si>
    <t>y-52</t>
  </si>
  <si>
    <t>AP02580997</t>
  </si>
  <si>
    <t>AP02580978</t>
  </si>
  <si>
    <t>AR02580908</t>
  </si>
  <si>
    <t>Fire Department issued 19 warrants. Amounts of warrants range from $9.15 to $58.4M. $58.4M Payment to State of California Department of Forestry 3rd Quarter FY24 Period: January 1, 2024 to March 31, 2024. Voucher FPARC 00408493.</t>
  </si>
  <si>
    <t xml:space="preserve">Department of Public Social Services issued 2 warrants. Amounts of warrants range from $578 to $447.5k. </t>
  </si>
  <si>
    <t>Fire Department - Fire Protection Revenue from City of Lake Elsinore.</t>
  </si>
  <si>
    <t>z-52</t>
  </si>
  <si>
    <t>AR02581294</t>
  </si>
  <si>
    <t>AR02581194</t>
  </si>
  <si>
    <t>AR02581296</t>
  </si>
  <si>
    <t>AR02581277</t>
  </si>
  <si>
    <t>0002579382</t>
  </si>
  <si>
    <t>0002579383</t>
  </si>
  <si>
    <t>FMREAL0746</t>
  </si>
  <si>
    <t>Department of Public Health - State Health Grants via TCR's HSARC 134436 and 134438.</t>
  </si>
  <si>
    <t>Mental Health - Revenue received for Federal-DAS-102M/C-F, Federal-DAS-103M/C-F, Federal Medi-Cal Part A, Federal Medi-Cal Part B, California-DAS-102 M/C-F, California-DAS-103 M/C-F, California Other Aid to Health, Mental Health Services, Other Forfeitures, and Penalties. TCR MHARC 12702.</t>
  </si>
  <si>
    <t>Sheriff Department - Contractual Revenue from City of San Jacinto, City of Moreno Valley, and Soboba Band of Luiseño Indians.</t>
  </si>
  <si>
    <t>0624 Payable Lease.</t>
  </si>
  <si>
    <t>Mental Health - Revenue received for Mental Health Services agreement from Advocates for Human Protentional Inc. TCR MHARC 12705.</t>
  </si>
  <si>
    <t>a-53</t>
  </si>
  <si>
    <t>AR02581610</t>
  </si>
  <si>
    <t>AR02581596</t>
  </si>
  <si>
    <t>0002580867</t>
  </si>
  <si>
    <t>FY23 Repayment of General Fund advance to CORAL for debt service payments.</t>
  </si>
  <si>
    <t>Mental Health - Revenue received for Federal Medi-Cal Part A, Federal Medi-Cal Part AQ-C, California Aid to Health, Mental Health Services, Other Forfeitures, and Penalties. TCR MHARC 12714.</t>
  </si>
  <si>
    <t>Department of Public Health - State Health Grants via TCR's HSARC 134448 and 134458.</t>
  </si>
  <si>
    <t>b-53</t>
  </si>
  <si>
    <t>AP02581984</t>
  </si>
  <si>
    <t>AR02581880</t>
  </si>
  <si>
    <t>0002581096</t>
  </si>
  <si>
    <t>0002580478</t>
  </si>
  <si>
    <t>0002580524</t>
  </si>
  <si>
    <t>ITACCS2411</t>
  </si>
  <si>
    <t>0002581108</t>
  </si>
  <si>
    <t>00R2479539</t>
  </si>
  <si>
    <t>ERF-2-L RUHS HWSCOC-0004689 April 2024 Claim #8.</t>
  </si>
  <si>
    <t>FY24_To allocate FM-Administration expenses based on approved 50/50 Methodology FY23/24.</t>
  </si>
  <si>
    <t>GF Contribution to OED 1st, 2nd, and 3rd Quarters FY 23/24.</t>
  </si>
  <si>
    <t>RCIT Enterprise Svcs May 2024
M.O. 3.23, 1-24-2023.</t>
  </si>
  <si>
    <t>GF Contributions for 0.5% of Discretionary Revenue to CIP Fund Recommendation # 7 FY 23/24.</t>
  </si>
  <si>
    <t>Reverse FY 22/23 MHSA Monthly Transfer - May - Per ARER Recon FY05/06-FY15/16.</t>
  </si>
  <si>
    <t>Fire Department issued 18 warrants. Amounts of warrants range from $81.56 to $1.2M. Payment to Kalmikov Enterprises Inc. in the amount of $1.2M. Voucher FPARC 00408639.</t>
  </si>
  <si>
    <t>COARC</t>
  </si>
  <si>
    <t>c-53</t>
  </si>
  <si>
    <t>AR02582193</t>
  </si>
  <si>
    <t>0002580789</t>
  </si>
  <si>
    <t>0002580687</t>
  </si>
  <si>
    <t>d-53</t>
  </si>
  <si>
    <t>AP02582606</t>
  </si>
  <si>
    <t>AP02582607</t>
  </si>
  <si>
    <t>AR02582523</t>
  </si>
  <si>
    <t>0002581747</t>
  </si>
  <si>
    <t>0002582482</t>
  </si>
  <si>
    <t>0002581739</t>
  </si>
  <si>
    <t>0002580527</t>
  </si>
  <si>
    <t>0002580501</t>
  </si>
  <si>
    <t>0002580471</t>
  </si>
  <si>
    <t>FY23-24 RPTTF June Distribution on 06032024</t>
  </si>
  <si>
    <t>PSAF - 1/2% Sales Tax Distribution May 2024.</t>
  </si>
  <si>
    <t>New Allocation. Realignment 1 - Transfer May 24 Realignment Revenue for Sales Tax to Soc. Services - GF Operating Accounts.</t>
  </si>
  <si>
    <t>Realignment 2 - Transfer May 2024 Sales Tax, State Hospital Offset and Managed Care Offset from Mental Health sub-fund deferred revenue account to GF operating account..</t>
  </si>
  <si>
    <t>Trial Court Security for May 2024.</t>
  </si>
  <si>
    <t>0002580502</t>
  </si>
  <si>
    <t>0002581755</t>
  </si>
  <si>
    <t>0002581757</t>
  </si>
  <si>
    <t>0002580787</t>
  </si>
  <si>
    <t>Realignment - Transfer May 2024 Realignment Revenue for VLF to Health GF Operating Accounts.</t>
  </si>
  <si>
    <t>CALSAWS OASIS JE for 5/29/2024.</t>
  </si>
  <si>
    <t>CALSAWS OASIS JE for 5/30/2024.</t>
  </si>
  <si>
    <t>FY23/24 ERAF VLF 2nd Payment in May 2024 GASB84.</t>
  </si>
  <si>
    <t>Department of Public Social Services issued 16 warrants. Amounts of warrants range from $8.15 to $7.9M. Payment for June 2024 IHSS MOE Billing in the amount of $7.9M. Voucher DPARC 00207310.</t>
  </si>
  <si>
    <t>Department of Public Social Services issued 5 warrants. Amounts of warrants range from $609 to $4.8M. Payment for June 2024 IHSS Health Benefits in the amount of $4.8M. Voucher DPARC 00207348.</t>
  </si>
  <si>
    <t>Sheriff Department - Contractual Revenue from City of Norco, City of Jurupa Valley, Jurupa Community Services District, Jurupa Unified School District, and Roosevelt High School.</t>
  </si>
  <si>
    <t>e-53</t>
  </si>
  <si>
    <t>AP02583016</t>
  </si>
  <si>
    <t>AR02582822</t>
  </si>
  <si>
    <t>AR02582823</t>
  </si>
  <si>
    <t>0002582115</t>
  </si>
  <si>
    <t>To reclass CIP pass-thru revenues distributed in the FY 23-24 June RPTTF distribution.</t>
  </si>
  <si>
    <t xml:space="preserve">Department of Sheriff issued 67 warrants. Amounts of warrants range from $2 to $4.1M. Payment to Motorola Voucher 00560831 and 00560832 in the amount of $4.1M and $1.2M for radios. </t>
  </si>
  <si>
    <t>Sheriff Department - Contractual Revenue from City of Canyon Lake, City of Lake Elsinore, and City of Wildomar.</t>
  </si>
  <si>
    <t>f-53</t>
  </si>
  <si>
    <t>AP02583222</t>
  </si>
  <si>
    <t>AR02583134</t>
  </si>
  <si>
    <t>AR02583135</t>
  </si>
  <si>
    <t>AR02583137</t>
  </si>
  <si>
    <t>AR02583136</t>
  </si>
  <si>
    <t>Department of Public Social Services issued 20 warrants. Amounts of warrants range from $20 to $245k.</t>
  </si>
  <si>
    <t>Executive Office - State Apportionment Revenue for AB199 Criminal Fees Backfill received via TCR EOARC 13515.</t>
  </si>
  <si>
    <t>Fire Department - Fire Protection Revenue from City of Jurupa Valley, City of San Jacinto, Desert Hot Springs, and Superior Court of California.</t>
  </si>
  <si>
    <t>Fire Department - Fire Protection Revenue from City of Wildomar.</t>
  </si>
  <si>
    <t>g-53</t>
  </si>
  <si>
    <t>AP02583733</t>
  </si>
  <si>
    <t>0002583048</t>
  </si>
  <si>
    <t>0002582083</t>
  </si>
  <si>
    <t>RCRMC PAYOR MOU JUNE 23/24.</t>
  </si>
  <si>
    <t>CALSAWS OASIS JE for 6/3/2024.</t>
  </si>
  <si>
    <t>Department of Public Social Services issued 10 warrants. Amounts of warrants range from $55.63 to $700k.</t>
  </si>
  <si>
    <t>h-53</t>
  </si>
  <si>
    <t>0002580488</t>
  </si>
  <si>
    <t>0002581571</t>
  </si>
  <si>
    <t>April 2024 Court Fees and Fines Distribution.</t>
  </si>
  <si>
    <t>SIMPLER LLC invoices managed by MC per contract.</t>
  </si>
  <si>
    <t>i-53</t>
  </si>
  <si>
    <t>AP02584672</t>
  </si>
  <si>
    <t>AP02584673</t>
  </si>
  <si>
    <t xml:space="preserve">Mental Health issued 34 warrants. Amounts of warrants range from $28 to $491k. </t>
  </si>
  <si>
    <t xml:space="preserve">Mental Health issued 33 warrants. Amounts of warrants range from $26.10 to $313k. </t>
  </si>
  <si>
    <t>j-53</t>
  </si>
  <si>
    <t>AP02585021</t>
  </si>
  <si>
    <t>AP02585109</t>
  </si>
  <si>
    <t>AR02584948</t>
  </si>
  <si>
    <t>AR02584922</t>
  </si>
  <si>
    <t>0002583900</t>
  </si>
  <si>
    <t>0002583679</t>
  </si>
  <si>
    <t>Department of Public Social Services issued 38 warrants. Amounts of warrants range from $13.92 to $333.9k.</t>
  </si>
  <si>
    <t xml:space="preserve">Mental Health issued 68 warrants. Amounts of warrants range from $40 to $347.6k. </t>
  </si>
  <si>
    <t>Fire Department - Fire Protection Revenue from City of Temecula.</t>
  </si>
  <si>
    <t>Sheriff Department - Contractual Revenue from City of Canyon Lake, City of La Quinta, Lake Elsinore High School, and Lakeside High School.</t>
  </si>
  <si>
    <t>k-53</t>
  </si>
  <si>
    <t>AP02585422</t>
  </si>
  <si>
    <t>AP02585348</t>
  </si>
  <si>
    <t xml:space="preserve">Mental Health issued 15 warrants. Amounts of warrants range from $900 to $479.6k. </t>
  </si>
  <si>
    <t>Department of Public Social Services issued 1 warrant in the amount of $1.2M to CDW Government Inc. Voucher DPARC 00207740.</t>
  </si>
  <si>
    <t>l-53</t>
  </si>
  <si>
    <t>AP02585744</t>
  </si>
  <si>
    <t>AR02585647</t>
  </si>
  <si>
    <t>AR02585625</t>
  </si>
  <si>
    <t>AR02585623</t>
  </si>
  <si>
    <t>FMMLBR1072</t>
  </si>
  <si>
    <t>MAINT Labor May 2024.</t>
  </si>
  <si>
    <t>Department of Public Social Services issued 24 warrants. Amounts of warrants range from $12.36 to $385k.</t>
  </si>
  <si>
    <t>Fire Department - Fire Protection Revenue from City of Banning, City of Temecula, Rubidoux Community, and State of California.</t>
  </si>
  <si>
    <t>Sheriff Department - Contractual Revenue from City of Lake Elsinore, City of San Jacinto, City of Wildomar, and Lake Elsinore School District.</t>
  </si>
  <si>
    <t>Sheriff Department - Contractual Revenue from City of San Jacinto.</t>
  </si>
  <si>
    <t>m-53</t>
  </si>
  <si>
    <t>AP02586320</t>
  </si>
  <si>
    <t>AR02586108</t>
  </si>
  <si>
    <t>0002584419</t>
  </si>
  <si>
    <t>0002584767</t>
  </si>
  <si>
    <t>Correct IEHP Payment -HHP to HWS</t>
  </si>
  <si>
    <t>To reclassify Kofile expense under Clerk Recorder fund 10000 to an ARPA expense fund 21735 based on approved BOS Form 11 (3.14 06/11/2024).</t>
  </si>
  <si>
    <t>Sheriff Department - Contractual Revenue from  City of Perris.</t>
  </si>
  <si>
    <t>Department of Mental Health issued 86 warrants, 1 warrant was for $1.5M to Olive Crest MHARC-00317446.</t>
  </si>
  <si>
    <t>n-53</t>
  </si>
  <si>
    <t>AP02586785</t>
  </si>
  <si>
    <t>AP02586915</t>
  </si>
  <si>
    <t>AP02586916</t>
  </si>
  <si>
    <t>AR02586683</t>
  </si>
  <si>
    <t>AR02586660</t>
  </si>
  <si>
    <t>0002583897</t>
  </si>
  <si>
    <t>0002584867</t>
  </si>
  <si>
    <t>Department of Public Social Services issued 22 warrants. Amounts of warrants range from $8 to $425k.</t>
  </si>
  <si>
    <t xml:space="preserve">Sheriff Department - Contractual Revenue from City of Eastvale, City of Norco, and  Jurupa Community Services District. </t>
  </si>
  <si>
    <t>ELC3 - PD 23-01582 BioMerieuz (Spotfire) Grant.</t>
  </si>
  <si>
    <t>Fire Department - Fire Protection Revenue from City Of Beaumont .</t>
  </si>
  <si>
    <t>o-53</t>
  </si>
  <si>
    <t>AR02587209</t>
  </si>
  <si>
    <t>AR02587185</t>
  </si>
  <si>
    <t>AR02587205</t>
  </si>
  <si>
    <t>AR02587216</t>
  </si>
  <si>
    <t>0002586598</t>
  </si>
  <si>
    <t>0002586563</t>
  </si>
  <si>
    <t>FLEET MONTHLY BILLING PER 11 MAY FY24.</t>
  </si>
  <si>
    <t>FY24 FLEET MONTHLY BILLING PER 12 JUNE ESTIMATE.</t>
  </si>
  <si>
    <t>Department of Public Health - State Health Grants via TCR's HSARC 134490 and 134491.</t>
  </si>
  <si>
    <t>Fire Department - Fire Protection Revenue from City of Eastvale, Idyllwild, and State of California.</t>
  </si>
  <si>
    <t>Mental Health - Revenue received for Federal Block Grants. TCR MHARC 12729.</t>
  </si>
  <si>
    <t>Sheriff Department - Contractual Revenue from City of Indian Wells, City of Palm Desert, City of Rancho Mirage, Coachella Valley Cemetery District, Desert Sands Unified School District, and Palm Springs Unified School District.</t>
  </si>
  <si>
    <t>p-53</t>
  </si>
  <si>
    <t>AP02587784</t>
  </si>
  <si>
    <t>AP02587687</t>
  </si>
  <si>
    <t>0002586605</t>
  </si>
  <si>
    <t>Advance to Revenue-June 2024.</t>
  </si>
  <si>
    <t xml:space="preserve">Mental Health issued 41 warrants. Amounts of warrants range from $54.08 to $367.6k. </t>
  </si>
  <si>
    <t>Department of Public Social Services issued 25 warrants. Amounts of warrants range from $19.25 to $1M. Payment to Simpler North America LLC in the amount of $1M. Voucher DPARC 00207849.</t>
  </si>
  <si>
    <t xml:space="preserve">Department of Mental Health issued 251 warrants. Amounts of warrants range from $1 to $313k. </t>
  </si>
  <si>
    <t xml:space="preserve">Department of Mental Health issued 99 warrants. Amounts of warrants range from $19 to $586k. </t>
  </si>
  <si>
    <t>q-53</t>
  </si>
  <si>
    <t>AR02588057</t>
  </si>
  <si>
    <t>0002583981</t>
  </si>
  <si>
    <t>0002586632</t>
  </si>
  <si>
    <t>FMELC24111</t>
  </si>
  <si>
    <t>ADMIN FEE CHARGE FOR THE 4TH QTR 4/1/2024-6/30/2024 FY23/24.</t>
  </si>
  <si>
    <t>FY24 MAY Utility Billings ELC.</t>
  </si>
  <si>
    <t>Auditor-Controller's Office - State Board of Equalization Local Sales Tax Revenue.</t>
  </si>
  <si>
    <t>r-53</t>
  </si>
  <si>
    <t>AP02588775</t>
  </si>
  <si>
    <t>AR02588600</t>
  </si>
  <si>
    <t>AR02588597</t>
  </si>
  <si>
    <t>INTQ324ACR</t>
  </si>
  <si>
    <t>Q3 2024 INT ACRL.</t>
  </si>
  <si>
    <t xml:space="preserve">Mental Health issued 110 warrants. Amounts of warrants range from $346.47 to $404.8k. </t>
  </si>
  <si>
    <t>Department of Public Health - State Health Grants via TCR's HSARC 134496 and 134497.</t>
  </si>
  <si>
    <t>HCARC</t>
  </si>
  <si>
    <t>Department of Public Health - Federal Health Grants via TCR HCARC 21636.</t>
  </si>
  <si>
    <t>s-53</t>
  </si>
  <si>
    <t>AR02589043</t>
  </si>
  <si>
    <t>AR02589000</t>
  </si>
  <si>
    <t>ITACCS2412</t>
  </si>
  <si>
    <t>RCIT Enterprise Services June 2024 M.O. 3.23, 1-24-2023.</t>
  </si>
  <si>
    <t>Sheriff Department - Contractual Revenue from City of La Quinta, City of Indian Wells, Southern Coachella Valley, City of Rancho Mirage, and Southern Coachella Valley.</t>
  </si>
  <si>
    <t>t-53</t>
  </si>
  <si>
    <t>AR02589397</t>
  </si>
  <si>
    <t>AR02589361</t>
  </si>
  <si>
    <t>AR02589399</t>
  </si>
  <si>
    <t>AR02589357</t>
  </si>
  <si>
    <t>Mental Health - Revenue received for Federal DAS-103M/C-F, Federal Medi-Cal Part AQ-C, Other Forfeitures, and Penalties. TCR MHARC 12727.</t>
  </si>
  <si>
    <t>Mental Health - Revenue received for Federal Block Grants, Federal SAPT, Mental Health Services, Other Forfeitures, and Penalties. TCR MHARC 12734.</t>
  </si>
  <si>
    <t>Sheriff Department - Contractual Revenue from City of City of San Jacinto.</t>
  </si>
  <si>
    <t>u-53</t>
  </si>
  <si>
    <t>0002588127</t>
  </si>
  <si>
    <t>FMMLBR1073</t>
  </si>
  <si>
    <t>0002587885</t>
  </si>
  <si>
    <t>0002587646</t>
  </si>
  <si>
    <t>MAINT Labor Jun 2024.</t>
  </si>
  <si>
    <t>v-53</t>
  </si>
  <si>
    <t>AR02590044</t>
  </si>
  <si>
    <t>AR02590045</t>
  </si>
  <si>
    <t>0002588497</t>
  </si>
  <si>
    <t>0002589603</t>
  </si>
  <si>
    <t>Sheriff Department - Contractual Revenue from City of Temecula, Temecula Valley Unified School District, Murrieta Valley Unified School District, and Riverside Sheriff's Association.</t>
  </si>
  <si>
    <t>Transfer from Solar Fund to General Fund FY23/24.</t>
  </si>
  <si>
    <t>FY25 General Fund advance to CORAL, POB 2005 and POB 2020 Series for debt service payments due in July.</t>
  </si>
  <si>
    <t>w-53</t>
  </si>
  <si>
    <t>0002587869</t>
  </si>
  <si>
    <t>0002587126</t>
  </si>
  <si>
    <t>0002587127</t>
  </si>
  <si>
    <t>FY2324 Arlington unfunded cost and MC
BH DX transfer to Medical Center - May
2024.</t>
  </si>
  <si>
    <t>FY2324 Arlington unfunded cost and MC
BH DX transfer to Medical Center - June
2024.</t>
  </si>
  <si>
    <t>x-53</t>
  </si>
  <si>
    <t>AR02590776</t>
  </si>
  <si>
    <t>0002590725</t>
  </si>
  <si>
    <t>FY24 FLEET MONTHLY BILLING PER 12 JUNE Estimate - Reversed.</t>
  </si>
  <si>
    <t>Fire Department - Fire Protection Revenue from City of Indio.</t>
  </si>
  <si>
    <t>y-53</t>
  </si>
  <si>
    <t>0002589604</t>
  </si>
  <si>
    <t>0002588017</t>
  </si>
  <si>
    <t>0002589571</t>
  </si>
  <si>
    <t>0002590284</t>
  </si>
  <si>
    <t>0002588944</t>
  </si>
  <si>
    <t>0002589328</t>
  </si>
  <si>
    <t>Reverses initial redistribution JE 0002579383 posted on 5/22/2024. Pending documents have now been received/processed providing detailed advance/settlement information and this transaction redistributes accordingly.</t>
  </si>
  <si>
    <t>0002589591</t>
  </si>
  <si>
    <t>0002589595</t>
  </si>
  <si>
    <t>CALSAWS OASIS JE for 6/26/2024 Payroll</t>
  </si>
  <si>
    <t>CALSAWS OASIS JE for 6/27/2024 Payroll</t>
  </si>
  <si>
    <t>0002589530</t>
  </si>
  <si>
    <t>z-53</t>
  </si>
  <si>
    <t>AR02591611</t>
  </si>
  <si>
    <t>0002590724</t>
  </si>
  <si>
    <t>FY24 FLEET MONTHLY BILLING PER 12 JUNE.</t>
  </si>
  <si>
    <t>a-54</t>
  </si>
  <si>
    <t>AP02592289</t>
  </si>
  <si>
    <t>AP02592332</t>
  </si>
  <si>
    <t>AP02592290</t>
  </si>
  <si>
    <t>AR02592111</t>
  </si>
  <si>
    <t>0002591564</t>
  </si>
  <si>
    <t>Transfer of 25% Sales Tax Revenue to Cabazon, Wine Country and Mead Valley Community Revitalization Funds.</t>
  </si>
  <si>
    <t xml:space="preserve">Mental Health issued 128 warrants. Amounts of warrants range from $7.27 to $404.8k. </t>
  </si>
  <si>
    <t xml:space="preserve">Sheriff Department issued 57 warrants. Amounts of warrants range from $5.60 to $951.8k. </t>
  </si>
  <si>
    <t xml:space="preserve">Mental Health issued 20 warrants. Amounts of warrants range from $23.79 to $392.8k. </t>
  </si>
  <si>
    <t>Department of Public Health - State Health Grants via TCR's HSARC 134515 and 134516.</t>
  </si>
  <si>
    <t>b-54</t>
  </si>
  <si>
    <t>AP02592616</t>
  </si>
  <si>
    <t>AP02592720</t>
  </si>
  <si>
    <t>AR02592529</t>
  </si>
  <si>
    <t>0002591395</t>
  </si>
  <si>
    <t>0002591391</t>
  </si>
  <si>
    <t>0002591393</t>
  </si>
  <si>
    <t>Department of Public Social Services issued 2 warrants. Amounts of warrants range from $42.4k to $4.9M. Payment for July 2024 IHSS Health Benefits in the amount of $4.9M. Voucher DPARC 00208178.</t>
  </si>
  <si>
    <t xml:space="preserve">Mental Health issued 68 warrants. Amounts of warrants range from $12.51 to $959.1k. </t>
  </si>
  <si>
    <t>c-24</t>
  </si>
  <si>
    <t>AR02592930</t>
  </si>
  <si>
    <t>Sheriff Department - Contractual Revenue from City of San Jacinto and San Jacinto Unified School District.</t>
  </si>
  <si>
    <t>d-54</t>
  </si>
  <si>
    <t>AR02593407</t>
  </si>
  <si>
    <t>0002589785</t>
  </si>
  <si>
    <t>Sheriff Department - Contractual Revenue from City of Eastvale, City of Jurupa Valley, City of Norco, Jurupa Community Services District, and Jurupa Unified School District.</t>
  </si>
  <si>
    <t>e-54</t>
  </si>
  <si>
    <t>AP02594473</t>
  </si>
  <si>
    <t>AR02594425</t>
  </si>
  <si>
    <t>AR02594403</t>
  </si>
  <si>
    <t>0002593905</t>
  </si>
  <si>
    <t>0002594286</t>
  </si>
  <si>
    <t>0002592366</t>
  </si>
  <si>
    <t>FM08420011324 HAB 1st floor remodel &amp; FM08420012804 HAB Restroom remodel.</t>
  </si>
  <si>
    <t>FY 23-24 CY SUP June.</t>
  </si>
  <si>
    <t xml:space="preserve">Assessors Department issued 4 warrants.  Amounts of warrants range from $50 to $3.5M. Payment for SB2 Fee FY23-24 4th quarter in the amount of $3.5M. voucher ASARC 00061965. </t>
  </si>
  <si>
    <t>Department of Public Health - State Health Grants via TCR's HSARC 134525 and 134527.</t>
  </si>
  <si>
    <t>f-54</t>
  </si>
  <si>
    <t>AP02595184</t>
  </si>
  <si>
    <t>AR02594932</t>
  </si>
  <si>
    <t xml:space="preserve">Sheriff Department issued 80 warrants.  Amounts of warrants range from $4 to $562K.   </t>
  </si>
  <si>
    <t>Sheriff Department - Contractual Revenue from City of Lake Elsinore and City of Indian Wells.</t>
  </si>
  <si>
    <t>g-54</t>
  </si>
  <si>
    <t>AR02595388</t>
  </si>
  <si>
    <t>AR02595389</t>
  </si>
  <si>
    <t>0002594709</t>
  </si>
  <si>
    <t>To reverse an original journal # 0002592366, we should have use revenue inter-fund account instead of liability account.</t>
  </si>
  <si>
    <t>0002592370</t>
  </si>
  <si>
    <t>IN2411a LLUSM Psch Due from BH.</t>
  </si>
  <si>
    <t>Sheriff Department - Contractual Revenue from City of La Quinta, Indio Police, and Desert Sands Unified School District.</t>
  </si>
  <si>
    <t>h-54</t>
  </si>
  <si>
    <t>AP02596065</t>
  </si>
  <si>
    <t>AP02596064</t>
  </si>
  <si>
    <t xml:space="preserve">Mental Health issued 31 warrants. Amounts of warrants range from $173 to $407.9k. </t>
  </si>
  <si>
    <t xml:space="preserve">Mental Health issued 42 warrants. Amounts of warrants range from $497.31 to $361.2k. </t>
  </si>
  <si>
    <t>i-54</t>
  </si>
  <si>
    <t>AR02596362</t>
  </si>
  <si>
    <t>AR02596341</t>
  </si>
  <si>
    <t>Sheriff Department - Contractual Revenue from City of Coachella, City of Jurupa Valley, City of Eastvale, Corona-Norco Unified School District, and Jurupa Unified School District.</t>
  </si>
  <si>
    <t>AR02596917</t>
  </si>
  <si>
    <t>0002595676</t>
  </si>
  <si>
    <t>FY23-24 CY SUP JUNE- 5% Commission Date Correction to JV#0002594286</t>
  </si>
  <si>
    <t>0002596307</t>
  </si>
  <si>
    <t>00R2594286</t>
  </si>
  <si>
    <t>0002596170</t>
  </si>
  <si>
    <t>FMREAL0749</t>
  </si>
  <si>
    <t>FMREAL0747</t>
  </si>
  <si>
    <t>ITACCS2501</t>
  </si>
  <si>
    <t>RCRMC PAYOR MOU JULY 24/25</t>
  </si>
  <si>
    <t>FY 23-24 CY SUP June-5 % Commission Date Correction to JV#002594286 (Changed from 7/16 to 6/30)</t>
  </si>
  <si>
    <t>0824 Payable Lease</t>
  </si>
  <si>
    <t>0724 Payable Lease</t>
  </si>
  <si>
    <t>RCIT Enterprise Services July 2024
M.O. 3.12, 1-09-2024</t>
  </si>
  <si>
    <t>Department of Public Health - State Health Grants via TCR's HSARC 134541 and 134543.</t>
  </si>
  <si>
    <t>k-54</t>
  </si>
  <si>
    <t>AP02597681</t>
  </si>
  <si>
    <t>AP02597682</t>
  </si>
  <si>
    <t>AR02597386</t>
  </si>
  <si>
    <t>AR02597380</t>
  </si>
  <si>
    <t>0002596335</t>
  </si>
  <si>
    <t>0002596846</t>
  </si>
  <si>
    <t>GL FY 23-24 PY UNS PYU-Old Year.</t>
  </si>
  <si>
    <t>FY 23-24 CY SBE CS3.</t>
  </si>
  <si>
    <t xml:space="preserve">Mental Health issued 65 warrants. Amounts of warrants range from $19.25 to $582.2k. </t>
  </si>
  <si>
    <t xml:space="preserve">Mental Health issued 22 warrants. Amounts of warrants range from $2.8k to $519.2k. </t>
  </si>
  <si>
    <t>Sheriff Department - Contractual Revenue from City of Coachella, City of Palm Desert, City of Temecula, City of Rancho Mirage, City of Norco, and Val Verde School Police Department.</t>
  </si>
  <si>
    <t>l-54</t>
  </si>
  <si>
    <t>AP02597930</t>
  </si>
  <si>
    <t>INTQ424CSH</t>
  </si>
  <si>
    <t>0002596745</t>
  </si>
  <si>
    <t>Q4 2024 INT CASH.</t>
  </si>
  <si>
    <t>GF Contribution to Fire Dept UCI 2nd District - FP#82_Lakehills BOS 3.2 06/25/2024 ID# 25351 FY 23/24</t>
  </si>
  <si>
    <t xml:space="preserve">Mental Health issued 70 warrants. Amounts of warrants range from $32.61 to $334.6k. </t>
  </si>
  <si>
    <t>m-54</t>
  </si>
  <si>
    <t>AP02598451</t>
  </si>
  <si>
    <t>AP02598450</t>
  </si>
  <si>
    <t>AR02598141</t>
  </si>
  <si>
    <t>0002594908</t>
  </si>
  <si>
    <t>FY24 4th Qtr OOC General Fund Revenue Distribution Estimate.</t>
  </si>
  <si>
    <t xml:space="preserve">Mental Health issued 62 warrants. Amounts of warrants range from $315.15 to $471.6k. </t>
  </si>
  <si>
    <t xml:space="preserve">Mental Health issued 113 warrants. Amounts of warrants range from $408 to $403.2k. </t>
  </si>
  <si>
    <t>n-54</t>
  </si>
  <si>
    <t>AP02598915</t>
  </si>
  <si>
    <t>AP02598880</t>
  </si>
  <si>
    <t>AP02598879</t>
  </si>
  <si>
    <t>AR02598678</t>
  </si>
  <si>
    <t>0002598632</t>
  </si>
  <si>
    <t>GF Contribution to RUHS - Medical Center FY 23/24.</t>
  </si>
  <si>
    <t xml:space="preserve">Sheriff Department issued 69 warrants. Amounts of warrants range from $13.35 to $159.1k. </t>
  </si>
  <si>
    <t xml:space="preserve">Mental Health issued 13 warrants. Amounts of warrants range from $800 to $327.8k. </t>
  </si>
  <si>
    <t xml:space="preserve">Mental Health issued 131 warrants. Amounts of warrants range from $19.25 to $185.6k. </t>
  </si>
  <si>
    <t>Sheriff Department - Contractual Revenue from City of Palm Desert and Homeland Security Investigations.</t>
  </si>
  <si>
    <t>o-54</t>
  </si>
  <si>
    <t>AR02599103</t>
  </si>
  <si>
    <t>AR02599145</t>
  </si>
  <si>
    <t>0002596158</t>
  </si>
  <si>
    <t>FMPBH24121</t>
  </si>
  <si>
    <t>0002596172</t>
  </si>
  <si>
    <t>FY23/24-Jun R1-Proj Billings.</t>
  </si>
  <si>
    <t>Executive Office Payment for CALPERS Prepayment. Payment to CALPERS Public Employee's Retirement in the amount of $236.6M. Deposits EOARC 13537 and 13538.</t>
  </si>
  <si>
    <t>Sheriff Department - Contractual Revenue from City of Temecula, Temecula Valley Unified School District, and Murrieta Valley Unified School District.</t>
  </si>
  <si>
    <t>p-54</t>
  </si>
  <si>
    <t>AR02599548</t>
  </si>
  <si>
    <t>AR02599550</t>
  </si>
  <si>
    <t>AR02599508</t>
  </si>
  <si>
    <t>00C2596172</t>
  </si>
  <si>
    <t>0002598635</t>
  </si>
  <si>
    <t>0002598996</t>
  </si>
  <si>
    <t>0002592858</t>
  </si>
  <si>
    <t>0002592472</t>
  </si>
  <si>
    <t>0002583990</t>
  </si>
  <si>
    <t>00R2596172</t>
  </si>
  <si>
    <t>Reclass JE#2598008 to CIP Fund Number
FY 23/24 Transfer to CIP.</t>
  </si>
  <si>
    <t>Mental Health-Federal Medical Part A Revenue, CA-Medical Match, and Other Aid to Health. -MHARC 12742.</t>
  </si>
  <si>
    <t>Mental Health revenue treatment -MHARC 12761.</t>
  </si>
  <si>
    <t>Sheriff Department - Contractual Revenue from City of Eastvale, City of Jurupa Valley, City of Moreno Valley, Corona-Norco Unified School District.</t>
  </si>
  <si>
    <t>CalSAWS - Oasis JE for 7/29 - Payroll.</t>
  </si>
  <si>
    <t>q-54</t>
  </si>
  <si>
    <t>AP02600019</t>
  </si>
  <si>
    <t>AP02600020</t>
  </si>
  <si>
    <t>AR02599891</t>
  </si>
  <si>
    <t>0002596154</t>
  </si>
  <si>
    <t>0002595900</t>
  </si>
  <si>
    <t>0002592862</t>
  </si>
  <si>
    <t>0002594820</t>
  </si>
  <si>
    <t>0002591986</t>
  </si>
  <si>
    <t>Advance to Revenue-July 2024.</t>
  </si>
  <si>
    <t xml:space="preserve">Mental Health issued 7 warrants. Amounts of warrants range from $38.50 to $719.1k. </t>
  </si>
  <si>
    <t>Mental Health issued 10 warrants. Amounts of warrants range from $17.82 to $1M. Payment to ABC Recover Center Inc in the amount of $1M. Voucher MHARC 00320341.</t>
  </si>
  <si>
    <t>r-54</t>
  </si>
  <si>
    <t>AP02600368</t>
  </si>
  <si>
    <t>0002588501</t>
  </si>
  <si>
    <t>0002594779</t>
  </si>
  <si>
    <t>0002594799</t>
  </si>
  <si>
    <t>0002592845</t>
  </si>
  <si>
    <t>0002594813</t>
  </si>
  <si>
    <t>0002592851</t>
  </si>
  <si>
    <t>0002592469</t>
  </si>
  <si>
    <t>0002592877</t>
  </si>
  <si>
    <t>0002592883</t>
  </si>
  <si>
    <t>PSAF - 1/2% Sales Tax Distribution June 2024.</t>
  </si>
  <si>
    <t>ITACCS2502</t>
  </si>
  <si>
    <t>0002595788</t>
  </si>
  <si>
    <t>0002598988</t>
  </si>
  <si>
    <t>RCIT Enterprise Services August 2024
M.O. 3.12, 1-09-2024</t>
  </si>
  <si>
    <t>FY2425 Arlington unfunded cost and MC
BH DX transfer to Medical Center - July
2024</t>
  </si>
  <si>
    <t>FY25 Worker's Compensation ISF 1st Qtr.</t>
  </si>
  <si>
    <t xml:space="preserve">Mental Health issued 26 warrants. Amounts of warrants range from $400 to $920.1k. </t>
  </si>
  <si>
    <t>s-54</t>
  </si>
  <si>
    <t>AR02600596</t>
  </si>
  <si>
    <t>AR02600610</t>
  </si>
  <si>
    <t>0002589246</t>
  </si>
  <si>
    <t>0002590399</t>
  </si>
  <si>
    <t>0002587065</t>
  </si>
  <si>
    <t>0002591058</t>
  </si>
  <si>
    <t>0002589248</t>
  </si>
  <si>
    <t>0002589243</t>
  </si>
  <si>
    <t>0002591882</t>
  </si>
  <si>
    <t>0002589515</t>
  </si>
  <si>
    <t>0002591888</t>
  </si>
  <si>
    <t>0002600438</t>
  </si>
  <si>
    <t>Trial Court Security for June 2024.</t>
  </si>
  <si>
    <t>0002599758</t>
  </si>
  <si>
    <t>JJCPA RecogRev 0124-0624Exp.</t>
  </si>
  <si>
    <t>Recognize Revenue DJJ SB823 PTS Program IS and SSD-PTS Aftercare  for YE June 2024 Exp Prelim1.</t>
  </si>
  <si>
    <t>CCPIA RecogRev 0124-0624Exp.</t>
  </si>
  <si>
    <t>JPA RecogRev1224-0624AllocCamp.</t>
  </si>
  <si>
    <t>Recognize Revenue AB109 PACT (Police Department Cities) Program YE June 2024 Exp Prelim1.</t>
  </si>
  <si>
    <t>Recognize Revenue Title IVE June 2024 (FY2223 Final Adj Claims).</t>
  </si>
  <si>
    <t>To transfer fund balance of $1,118,905.00 from sub-fund 11154 to Energy 10000-7200600000, per 3rd Qtr Budget Status Qtrly reports: 3.6 3Q24834 052124 Rec14.</t>
  </si>
  <si>
    <t>Sheriff Department - Contractual Revenue from City of Perris, Perris Union High School District, and Val Verde Union High School District.</t>
  </si>
  <si>
    <t>t-54</t>
  </si>
  <si>
    <t>AP02601177</t>
  </si>
  <si>
    <t>AP02601178</t>
  </si>
  <si>
    <t>AR02600997</t>
  </si>
  <si>
    <t>0002600543</t>
  </si>
  <si>
    <t>0002582756</t>
  </si>
  <si>
    <t>0002600165</t>
  </si>
  <si>
    <t>FMSLR24122</t>
  </si>
  <si>
    <t>Trial Court Security for July 2024.</t>
  </si>
  <si>
    <t>FMPPB24121</t>
  </si>
  <si>
    <t>Mental Health issued 64 warrants.  Amounts of warrants range from $324 to $889K.</t>
  </si>
  <si>
    <t>PSAF - 1/2% Sales Tax Distribution July 2024.</t>
  </si>
  <si>
    <t>Probation Department - Revenue for 3th and 4th quarter pretrial from Superior Court of California.</t>
  </si>
  <si>
    <t>FY23/24 SCE Solar Billings.</t>
  </si>
  <si>
    <t xml:space="preserve">Mental Health issued 47 warrants.  Amounts of warrants range from $193 to $1.1M. There were 4 payments over $1.1M to MHARC 00320412, 00320414, 00320422, and 00320505 to MFI Recovery Center for Claims. </t>
  </si>
  <si>
    <t>u-54</t>
  </si>
  <si>
    <t>AP02601682</t>
  </si>
  <si>
    <t>AP02601681</t>
  </si>
  <si>
    <t>FMPBH24R21</t>
  </si>
  <si>
    <t>FY23/24-Jun R2-Proj Billings.</t>
  </si>
  <si>
    <t>Mental Health issued 18 warrants.  Amounts of warrants range from $642.60 to $821.7K.</t>
  </si>
  <si>
    <t>Mental Health issued 18 warrants.  Amounts of warrants range from $511 to $196.4K.</t>
  </si>
  <si>
    <t>v-54</t>
  </si>
  <si>
    <t>AP02602002</t>
  </si>
  <si>
    <t>AR02601866</t>
  </si>
  <si>
    <t>Sheriff Department - Contractual Revenue from City of La Quinta, City of Rancho Mirage, and Southern Coachella Valley.</t>
  </si>
  <si>
    <t>Mental Health issued 9 warrants. Amounts of warrants range from $1,887 to $380K.</t>
  </si>
  <si>
    <t>AP02602464</t>
  </si>
  <si>
    <t>AP02602465</t>
  </si>
  <si>
    <t>0002595374</t>
  </si>
  <si>
    <t>0002590332</t>
  </si>
  <si>
    <t>New Allocation. Realignment 1 - Transfer June 24 Realignment Revenue for Sales Tax to Soc. Services - GF Operating Accounts.</t>
  </si>
  <si>
    <t>0002595368</t>
  </si>
  <si>
    <t>0002587116</t>
  </si>
  <si>
    <t>0002590301</t>
  </si>
  <si>
    <t>Realignment 2 - Transfer June 2024 Sales Tax, State Hospital Offset and Managed Care Offset from Mental Health sub-fund deferred revenue account to GF operating account.</t>
  </si>
  <si>
    <t>MHSA CSS revenue recognition.</t>
  </si>
  <si>
    <t>Contributions to Behavioral Health Opioid Settlement Funds BOS 3.33 6/11/2024 ID #22563 FY23/24.</t>
  </si>
  <si>
    <t>Mental Health issued 43 warrants. Amounts of warrants range from $51 to $515K.</t>
  </si>
  <si>
    <t>Mental Health issued 35 warrants. Amounts of warrants range from $157 to $528K.</t>
  </si>
  <si>
    <t>x-54</t>
  </si>
  <si>
    <t>w-54</t>
  </si>
  <si>
    <t>AP02602878</t>
  </si>
  <si>
    <t>To record BHI Cost for Psych, Clinical Therapists/Social Workers, and Support Staff S&amp;Bs for FY2324 True Up</t>
  </si>
  <si>
    <t xml:space="preserve">Fire issued 66 warrants. Amounts of warrants range from $8 to $2.1M. $2.1M payment to State of California Department of Forestry and Fire Protection 4th Quarter FY24. </t>
  </si>
  <si>
    <t>y-54</t>
  </si>
  <si>
    <t>AR02603276</t>
  </si>
  <si>
    <t>AR02603277</t>
  </si>
  <si>
    <t>FY 23/24 June 2024 Tax Fund Transfer</t>
  </si>
  <si>
    <t>0002601290</t>
  </si>
  <si>
    <t>0002602255</t>
  </si>
  <si>
    <t>GL Export-FY 23-24 SS3-Old Year</t>
  </si>
  <si>
    <t>0002600434</t>
  </si>
  <si>
    <t>0002600280</t>
  </si>
  <si>
    <t xml:space="preserve">Sheriff Department - Contractual Revenue from City of Jurupa Valley. </t>
  </si>
  <si>
    <t>z-54</t>
  </si>
  <si>
    <t>AR02603685</t>
  </si>
  <si>
    <t>AR02603660</t>
  </si>
  <si>
    <t>JE to reclass expenses from sub-funds and reclassify revenue.</t>
  </si>
  <si>
    <t>0002601372</t>
  </si>
  <si>
    <t>0002603167</t>
  </si>
  <si>
    <t>0002601359</t>
  </si>
  <si>
    <t>0002603534</t>
  </si>
  <si>
    <t>Admin OH FY 2324.</t>
  </si>
  <si>
    <t>JE to reclass expenses from SCAPAP sub-fund.</t>
  </si>
  <si>
    <t>Interest cost for FY24 for General Fund loan for POB prepayment.</t>
  </si>
  <si>
    <t>0002600430</t>
  </si>
  <si>
    <t xml:space="preserve">Salaries. </t>
  </si>
  <si>
    <t xml:space="preserve">City Revenue Sharing - Neutrality. TCR #13546. </t>
  </si>
  <si>
    <t>a-55</t>
  </si>
  <si>
    <t>AR02604052</t>
  </si>
  <si>
    <t>AR02604031</t>
  </si>
  <si>
    <t>AR02604032</t>
  </si>
  <si>
    <t>0002603252</t>
  </si>
  <si>
    <t>To Recognize Revenue Received for AB109 4th Quarter FY23/24.</t>
  </si>
  <si>
    <t>0002603203</t>
  </si>
  <si>
    <t>ONL MISP Realignment and Accrual FY24.</t>
  </si>
  <si>
    <t>0002600466</t>
  </si>
  <si>
    <t>JJCPA - Recognize Revenues forFY24 June Final.  Sub-fund Account 230433 Alloc (Sub-und acct 11167).</t>
  </si>
  <si>
    <t>0002603651</t>
  </si>
  <si>
    <t>GL Export 08/13/2024 Business Date.</t>
  </si>
  <si>
    <t>0002598003</t>
  </si>
  <si>
    <t>Recognize Revenue AB109 PACT (Police Dept Cities) Program YE June 2024 Exp Final.</t>
  </si>
  <si>
    <t>Sheriff Department - Contractual Revenue from City of Calimesa, City of Rancho Mirage, and City of Indian Wells.</t>
  </si>
  <si>
    <t xml:space="preserve">Sheriff Department - Contractual Revenue from City of San Jacinto and Soboba Band of Luiseño Indians. </t>
  </si>
  <si>
    <t>b-55</t>
  </si>
  <si>
    <t>AP02604499</t>
  </si>
  <si>
    <t>0002602094</t>
  </si>
  <si>
    <t>0002604280</t>
  </si>
  <si>
    <t>New Allocation. Realignment 1 - Transfer July 24 Realignment Revenue for Sales Tax to Soc. Services - GF Operating Accounts.</t>
  </si>
  <si>
    <t>Reclass Gen Fund Expenses to AB109 Fund 11167.</t>
  </si>
  <si>
    <t>0002604274</t>
  </si>
  <si>
    <t>0002602253</t>
  </si>
  <si>
    <t>ADVANCE TO REVENUE AUG 2024.</t>
  </si>
  <si>
    <t>Realignment 2 - Transfer July 2024 Sales Tax, State Hospital Offset and Managed Care Offset from Mental Health sub-fund deferred revenue account to GF operating account.</t>
  </si>
  <si>
    <t>0002600955</t>
  </si>
  <si>
    <t>FY24 Courts ISF Rates Liability and Property.</t>
  </si>
  <si>
    <t xml:space="preserve">Mental Health issued 7 warrants. Amounts of warrants range from $15 to $1M. $1M MHARC 00321004 paid to California Mentor. </t>
  </si>
  <si>
    <t>c-55</t>
  </si>
  <si>
    <t>AR02604704</t>
  </si>
  <si>
    <t>0002598969</t>
  </si>
  <si>
    <t>0002603029</t>
  </si>
  <si>
    <t>CCPIA - Recognize Revenues for Jun and Indirect Exp Final .  Subfund Account 230 Alloc (subfund acct 11164).</t>
  </si>
  <si>
    <t>Returning unused FY 2324 Opioid Funds.</t>
  </si>
  <si>
    <t>One Time</t>
  </si>
  <si>
    <t>d-55</t>
  </si>
  <si>
    <t>0002598972</t>
  </si>
  <si>
    <t>AB109 Community Correction Recognize Revenues FY2324 -Exp and ICRP JUNE Final ¿ Based on Approved CCPEC Budget Alloc 02.06.24.</t>
  </si>
  <si>
    <t>e-55</t>
  </si>
  <si>
    <t>AP02605781</t>
  </si>
  <si>
    <t>0002583519</t>
  </si>
  <si>
    <t>0002605531</t>
  </si>
  <si>
    <t>This transaction adjusts the Protective Services Local Revenue Fund 2011 deferred revenue / General Fund revenue posted on RIVCO 0002595374 dated 6/30/24</t>
  </si>
  <si>
    <t>0002604561</t>
  </si>
  <si>
    <t>0002604452</t>
  </si>
  <si>
    <t>Department of Public Social Services issued 1 warrant. Payment for August 2024 IHSS Health Benefits in the amount of $5.3M. Voucher DPARC 00208642.</t>
  </si>
  <si>
    <t>FY 23/24 AB109 3rd Quarter Claim.</t>
  </si>
  <si>
    <t>f-55</t>
  </si>
  <si>
    <t>0002592026</t>
  </si>
  <si>
    <t>Recognize Revenues for_YTEC-YOBG_YOBG-AC-June-FY2024 Exp, Direct and Indirect.</t>
  </si>
  <si>
    <t>ACOGAD2024</t>
  </si>
  <si>
    <t>FY24 YearEnd Cash Adj.</t>
  </si>
  <si>
    <t>0002598971</t>
  </si>
  <si>
    <t>Recognize Revenue DJJ SB823 PTS Program Indirect Admin Cost and Addl Direct June Final.</t>
  </si>
  <si>
    <t>ACRGAD2024</t>
  </si>
  <si>
    <t>g-55</t>
  </si>
  <si>
    <t>0002604559</t>
  </si>
  <si>
    <t>h-55</t>
  </si>
  <si>
    <t>0002604262</t>
  </si>
  <si>
    <t>FY25 FLEET MONTHLY BILLING PER 1 JULY.</t>
  </si>
  <si>
    <t>i-55</t>
  </si>
  <si>
    <t>AR02607034</t>
  </si>
  <si>
    <t>AR02607078</t>
  </si>
  <si>
    <t>AR02607016</t>
  </si>
  <si>
    <t xml:space="preserve">RUHS Mental Health - Federal Revenue received for Fed-Medi-Cal-FFP (Federal Financial Participation). TCR 12776 MHARC. </t>
  </si>
  <si>
    <t xml:space="preserve">One-time basis </t>
  </si>
  <si>
    <t xml:space="preserve">Semi-Annually </t>
  </si>
  <si>
    <t xml:space="preserve">State Board of Equalization - Local Sales Tax Revenue (ACARC TCR 39549). Public Health VLF and Social Services VLF (ACARC TCR 39542). </t>
  </si>
  <si>
    <t>0002599404</t>
  </si>
  <si>
    <t>0002603623</t>
  </si>
  <si>
    <t>Reversing CAJE 002. AB 109 Community Correction Recognizing Revenues for FY2324.</t>
  </si>
  <si>
    <t>FMMAIN1217</t>
  </si>
  <si>
    <t>MAINT Services Jul 2024.</t>
  </si>
  <si>
    <t>FMMAIN1218</t>
  </si>
  <si>
    <t>FMREAL0751</t>
  </si>
  <si>
    <t>MAINT Services Aug 2024.</t>
  </si>
  <si>
    <t>0924 Payable Lease.</t>
  </si>
  <si>
    <t>FY25 Property Insurance ISF 1st Qrtr.</t>
  </si>
  <si>
    <t>CalSAWS-Oasis JE for 7/30/2024 Payroll.</t>
  </si>
  <si>
    <t>FY25 General and Auto Liability ISF 1st Qrt.</t>
  </si>
  <si>
    <t>0002603585</t>
  </si>
  <si>
    <t>0002599836</t>
  </si>
  <si>
    <t>0002600188</t>
  </si>
  <si>
    <t>One-time Basis</t>
  </si>
  <si>
    <t>0002603046</t>
  </si>
  <si>
    <t>0002607308</t>
  </si>
  <si>
    <t>0002603025</t>
  </si>
  <si>
    <t>k-55</t>
  </si>
  <si>
    <t>j-55</t>
  </si>
  <si>
    <t>AP02607349</t>
  </si>
  <si>
    <t>AP02607351</t>
  </si>
  <si>
    <t>AR02607751</t>
  </si>
  <si>
    <t>AR02607754</t>
  </si>
  <si>
    <t xml:space="preserve">Sheriff issued 100 warrants. Amounts of warrants range from $14 to $194K. </t>
  </si>
  <si>
    <t xml:space="preserve">Probation issued 50 warrants. Amounts of warrants range from $38 to $1.1M. $1.1M payment to Tyler Technologies for Enterprise Supervision Case Management User Annual Fee.  </t>
  </si>
  <si>
    <t>Mental Health - Revenue received for Grants, Mental Health Services, Other Forfeitures, and Penalties. TCR MHARC 12769.</t>
  </si>
  <si>
    <t>l-55</t>
  </si>
  <si>
    <t>AR02608036</t>
  </si>
  <si>
    <t>0002605021</t>
  </si>
  <si>
    <t>0002604648</t>
  </si>
  <si>
    <t>0002604651</t>
  </si>
  <si>
    <t>0002604656</t>
  </si>
  <si>
    <t>0002604286</t>
  </si>
  <si>
    <t>0002605579</t>
  </si>
  <si>
    <t>Mental Health - Revenue received for Grants, Mental Health Services, Other Forfeitures, and Penalties. TCR MHARC 12786.</t>
  </si>
  <si>
    <t>m-55</t>
  </si>
  <si>
    <t>AR02608324</t>
  </si>
  <si>
    <t>00R2606975</t>
  </si>
  <si>
    <t>FY2324 Year End Funding</t>
  </si>
  <si>
    <t>0002600143</t>
  </si>
  <si>
    <t>FY25 General Support Services 1st Qrtr.</t>
  </si>
  <si>
    <t xml:space="preserve">Fire Protection Services Revenue - City of Lake Elsinore. </t>
  </si>
  <si>
    <t>Quaterly</t>
  </si>
  <si>
    <t>n-55</t>
  </si>
  <si>
    <t>0002606974</t>
  </si>
  <si>
    <t>0002606698</t>
  </si>
  <si>
    <t>0002608282</t>
  </si>
  <si>
    <t>0002608277</t>
  </si>
  <si>
    <t>0002606677</t>
  </si>
  <si>
    <t>PSAF - 1/2% Sales Tax Distribution August 2024.</t>
  </si>
  <si>
    <t>PSAF - 1/2% Sales Tax Distribution August 2024 Supplemental Allocation.</t>
  </si>
  <si>
    <t>New Allocation. Realignment 1 - Transfer August 24 Realignment Revenue for Sales Tax to Soc. Services - GF Operating Accounts.</t>
  </si>
  <si>
    <t>Trial Court Security for August 2024.</t>
  </si>
  <si>
    <t>0002608273</t>
  </si>
  <si>
    <t>Realignment 2 - Transfer August 2024 Sales Tax, State Hospital Offset and Managed Care Offset from Mental Health sub-fund deferred revenue account to GF operating account.</t>
  </si>
  <si>
    <t>Realignment - Transfer August 2024 Realignment Revenue for VLF to Health GF Operating Accounts.</t>
  </si>
  <si>
    <t>o-55</t>
  </si>
  <si>
    <t>AP02609375</t>
  </si>
  <si>
    <t>AR02609286</t>
  </si>
  <si>
    <t>0002608225</t>
  </si>
  <si>
    <t>0002607955</t>
  </si>
  <si>
    <t>0002607941</t>
  </si>
  <si>
    <t>CalSAWS - Oasis JE for 08/28/2024 Payroll.</t>
  </si>
  <si>
    <t>CalSAWS - Oasis JE for 08/29/2024.</t>
  </si>
  <si>
    <t>Mental Health issued 1 warrant in the amount of $1.8M. Payment to State of California for FY22/23 IST Growth Cap Penalty.</t>
  </si>
  <si>
    <t>Mental Health - Revenue received for Federal/ State Allocation. TCR MCARC 9217.</t>
  </si>
  <si>
    <t>p-55</t>
  </si>
  <si>
    <t>AP02609723</t>
  </si>
  <si>
    <t>AP02609690</t>
  </si>
  <si>
    <t xml:space="preserve">Department of Public Social Services issued 4 warrants. Amounts of warrants range from $67 to $4.9M. $4.9M payment to DPARC 00208811 United Domestic Workers of America (UDW AFSCME Local 3930). </t>
  </si>
  <si>
    <t>AR02609621</t>
  </si>
  <si>
    <t>AR02609623</t>
  </si>
  <si>
    <t>0002608208</t>
  </si>
  <si>
    <t xml:space="preserve">Social Security. </t>
  </si>
  <si>
    <t>ITACCS2503</t>
  </si>
  <si>
    <t>RCIT Enterprise Services September 2024.</t>
  </si>
  <si>
    <t>0002608115</t>
  </si>
  <si>
    <t xml:space="preserve">Sheriff Department - Contractual Revenue from City of San Jacinto and Mt. San Jacinto Community College. </t>
  </si>
  <si>
    <t xml:space="preserve">Sheriff Department - Contractual Revenue from City of Eastvale. </t>
  </si>
  <si>
    <t xml:space="preserve">Assessors Department issued 10 warrants.  Amounts of warrants range from $10 to $1.2M. Payment via voucher 00062332 to Kofile Technologies Inc in the amount of $1.2M. </t>
  </si>
  <si>
    <t>q-55</t>
  </si>
  <si>
    <t>AP02610192</t>
  </si>
  <si>
    <t>AR02610020</t>
  </si>
  <si>
    <t>FMPBH25021</t>
  </si>
  <si>
    <t>FY24/25-Aug Proj Billings.</t>
  </si>
  <si>
    <t>0002608204</t>
  </si>
  <si>
    <t>Department of Mental Health issued 30 warrants. Amounts of warrants range from $37 to $387K.</t>
  </si>
  <si>
    <t xml:space="preserve">Emergency Management Dept. Revenue for services. TCR 6685. </t>
  </si>
  <si>
    <t>r-55</t>
  </si>
  <si>
    <t>AP02610520</t>
  </si>
  <si>
    <t>AP02610592</t>
  </si>
  <si>
    <t>0002608616</t>
  </si>
  <si>
    <t>RCRMC PAYOR MOU AUGUST 24/25.</t>
  </si>
  <si>
    <t xml:space="preserve">Executive Office issued 10 warrants. Amounts of warrants range from $440 to $6.2M. $6.2 payment made to State Treasurer's Office for MOE 1st Qt. FY25.  </t>
  </si>
  <si>
    <t>Department of Mental Health issued 14 warrants. Amounts of warrants range from $62 to $338K.</t>
  </si>
  <si>
    <t>s-55</t>
  </si>
  <si>
    <t>FMREAL0753</t>
  </si>
  <si>
    <t>1024 Payable Lease.</t>
  </si>
  <si>
    <t>t-55</t>
  </si>
  <si>
    <t>FMPPB25021</t>
  </si>
  <si>
    <t>v-55</t>
  </si>
  <si>
    <t>AR02611894</t>
  </si>
  <si>
    <t>AR02611893</t>
  </si>
  <si>
    <t>0002610348</t>
  </si>
  <si>
    <t>GF Contribution FY24/25 to RUHS Medical Center for Indigent Healthcare. BOS Item:3.4 (ID#25950) 09/10/24.</t>
  </si>
  <si>
    <t xml:space="preserve">Sheriff Department - Contractual Revenue from City of Perris. </t>
  </si>
  <si>
    <t xml:space="preserve">Sheriff Department - Contractual Revenue from City of Temecula. </t>
  </si>
  <si>
    <t>x-55</t>
  </si>
  <si>
    <t>AR02612307</t>
  </si>
  <si>
    <t>AR02612306</t>
  </si>
  <si>
    <t>AR02612285</t>
  </si>
  <si>
    <t>Fire Department - Fire Protection Revenue from City of Canyon Lake, City of Banning, Desert Hot Springs, City of Rancho Mirage, City of Wildomar, and Superior Court of California.</t>
  </si>
  <si>
    <t>Fire Department - Fire Protection Revenue from City of Eastvale and State of California.</t>
  </si>
  <si>
    <t>Department of Public Health - State Health Grants via TCR HSARC 134605.</t>
  </si>
  <si>
    <t>y-55</t>
  </si>
  <si>
    <t>AR02612972</t>
  </si>
  <si>
    <t>AR02612928</t>
  </si>
  <si>
    <t>AR02612929</t>
  </si>
  <si>
    <t>0002610296</t>
  </si>
  <si>
    <t>0002610302</t>
  </si>
  <si>
    <t>0002610289</t>
  </si>
  <si>
    <t>0002611360</t>
  </si>
  <si>
    <t>0002611140</t>
  </si>
  <si>
    <t>0002611352</t>
  </si>
  <si>
    <t>Department of Public Health - Future of Public Health New Funding.</t>
  </si>
  <si>
    <t>z-55</t>
  </si>
  <si>
    <t>AR02613423</t>
  </si>
  <si>
    <t>AR02613444</t>
  </si>
  <si>
    <t>AR02613418</t>
  </si>
  <si>
    <t>0002613261</t>
  </si>
  <si>
    <t>0002612836</t>
  </si>
  <si>
    <t>0002610702</t>
  </si>
  <si>
    <t>0002609215</t>
  </si>
  <si>
    <t>FMMAIN1219</t>
  </si>
  <si>
    <t>0002612206</t>
  </si>
  <si>
    <t>Mental Health Revenue - Insurance fees, Subcontractor Cost Report Reimb, Patient Federal Medi-Cal FFP, MCal SGF, Medi-Cal Part B &amp; MCHIP, Out of State Foster Youth (OOS),  and Other Mental Health Charges for Services via TCR MHARC 12800.</t>
  </si>
  <si>
    <t>Department of Child Support Services- Advance to Revenue September 2024.</t>
  </si>
  <si>
    <t>a-56</t>
  </si>
  <si>
    <t>AP02614234</t>
  </si>
  <si>
    <t>AR02613972</t>
  </si>
  <si>
    <t>AR02613973</t>
  </si>
  <si>
    <t>AR02613971</t>
  </si>
  <si>
    <t>AR02613970</t>
  </si>
  <si>
    <t>AR02613993</t>
  </si>
  <si>
    <t>0002611848</t>
  </si>
  <si>
    <t>FY25 Registrar of Voters November Mail Ballots.</t>
  </si>
  <si>
    <t>FY25 Repayment of Advance to cover POB Advance to 35200 &amp; 35000 (full payment in advance).</t>
  </si>
  <si>
    <t>FY25 FLEET MONTHLY BILLING PER 2 AUGUST.</t>
  </si>
  <si>
    <t>FY25 Facilities Management MAINT Other Sep 2024.</t>
  </si>
  <si>
    <t>To allocate FM-Administration expenses based on approved 50/50 Methodology FY24/25.</t>
  </si>
  <si>
    <t>FY24 Fire Department - Fire Protection Revenue from City of Palm Desert.</t>
  </si>
  <si>
    <t>FY24 Fire Department - Fire Protection Revenue from City of Norco.</t>
  </si>
  <si>
    <t>FY24 Fire Department - Fire Protection Revenue from City of Perris.</t>
  </si>
  <si>
    <t>FY24 Fire Department - Fire Protection Revenue from City of Moreno Valley.</t>
  </si>
  <si>
    <t>FY24 Short-Doyle/Medi-Cal Reimbursement &amp; FY25 Mental Health Revenue - Mcal FFP, SGF, IGT &amp; MCHIP.</t>
  </si>
  <si>
    <t>FY24 Waste Resources 4th Qtr OOC General Fund
Revenue Distribution.</t>
  </si>
  <si>
    <t>b-56</t>
  </si>
  <si>
    <t>AR02614406</t>
  </si>
  <si>
    <t>AR02614408</t>
  </si>
  <si>
    <t>0002613250</t>
  </si>
  <si>
    <t>Admin Fee Charge for the 1st Quarter 7/1/2024-9/30/2024 FY 24/25.</t>
  </si>
  <si>
    <t>R002594908</t>
  </si>
  <si>
    <t xml:space="preserve">Reverse FY24 4th Qtr OOC General Fund Revenue Distribution Estimate. </t>
  </si>
  <si>
    <t xml:space="preserve">Sheriff Department - Contractual Revenue from City of La Quinta. </t>
  </si>
  <si>
    <t>c-56</t>
  </si>
  <si>
    <t>AP02614995</t>
  </si>
  <si>
    <t>AR02614863</t>
  </si>
  <si>
    <t>0002613936</t>
  </si>
  <si>
    <t>0002613906</t>
  </si>
  <si>
    <t>0002613911</t>
  </si>
  <si>
    <t>0002613884</t>
  </si>
  <si>
    <t>0002613889</t>
  </si>
  <si>
    <t>0002613858</t>
  </si>
  <si>
    <t>0002613941</t>
  </si>
  <si>
    <t>0002613942</t>
  </si>
  <si>
    <t>Reverses initial redistribution JE 0002610296 posted on 9/12/2024. Pending documents have now been received/processed providing detailed advance/settlement information and this transaction redistributes accordingly.</t>
  </si>
  <si>
    <t xml:space="preserve">Mental Health issued 5 warrants to Pacific Grove Hospital ranging from $97k to $403k. </t>
  </si>
  <si>
    <t>FY2425 Arlington unfunded cost and MC
BH DX transfer to Medical Center - Aug
2024.</t>
  </si>
  <si>
    <t>FY2425 Arlington unfunded cost and MC
BH DX transfer to Medical Center - Sept
2024.</t>
  </si>
  <si>
    <t>d-56</t>
  </si>
  <si>
    <t>INTQ424ACC</t>
  </si>
  <si>
    <t>0002614394</t>
  </si>
  <si>
    <t>0002613755</t>
  </si>
  <si>
    <t>FY24 Q4 INT ACCSH.</t>
  </si>
  <si>
    <t>FY25 Unclaimed Property Payments/Refunds BOS 9/10/24 Agenda Item 2.8.</t>
  </si>
  <si>
    <t>FY25 RCRMC PAYOR MOU SEPTEMBER 24/25.</t>
  </si>
  <si>
    <t>e-56</t>
  </si>
  <si>
    <t>AP02615811</t>
  </si>
  <si>
    <t>AR02615595</t>
  </si>
  <si>
    <t>AR02615629</t>
  </si>
  <si>
    <t>FY25 Mental Health issued 72 warrants ranging from $151 to $409,584.</t>
  </si>
  <si>
    <t>FY25 State Revenue from VLF Realignment and Sales tax.</t>
  </si>
  <si>
    <t>FY25 Mental Health Revenue - Mcal FFP, SGF, IGT &amp; MCHIP.</t>
  </si>
  <si>
    <t>f-56</t>
  </si>
  <si>
    <t>AP02616190</t>
  </si>
  <si>
    <t>AP02616191</t>
  </si>
  <si>
    <t>0002615495</t>
  </si>
  <si>
    <t>0002614776</t>
  </si>
  <si>
    <t>0002615091</t>
  </si>
  <si>
    <t>0002614375</t>
  </si>
  <si>
    <t>0002614786</t>
  </si>
  <si>
    <t>FY24 COPS Growth. Recognize revenue for COPS Growth account.</t>
  </si>
  <si>
    <t>FY25 Mental Health issued 132 warrants ranging from $0.25 to $716,853.73.</t>
  </si>
  <si>
    <t>FY25 Mental Health issued 75 warrants ranging from $26.56 to $484,653.</t>
  </si>
  <si>
    <t>FY25 PSAF - 1/2% Sales Tax Distribution September 2024.</t>
  </si>
  <si>
    <t>FY25 Realignment 2 - Transfer September 2024 Sales Tax, State Hospital Offset and Managed Care Offset from Mental Health sub-fund deferred revenue account to GF operating account.</t>
  </si>
  <si>
    <t>FY25 Trial Court Security for September 2024.</t>
  </si>
  <si>
    <t>FY25 Realignment - Transfer September 2024 Realignment Revenue for VLF to Health GF Operating Accounts.</t>
  </si>
  <si>
    <t>g-56</t>
  </si>
  <si>
    <t>AP02616447</t>
  </si>
  <si>
    <t>AR02616374</t>
  </si>
  <si>
    <t>AR02616354</t>
  </si>
  <si>
    <t>0002614785</t>
  </si>
  <si>
    <t>0002614792</t>
  </si>
  <si>
    <t>0002615520</t>
  </si>
  <si>
    <t>0002615540</t>
  </si>
  <si>
    <t>FY24 Fire Department - Fire Protection Revenue from City of San Jacinto, Jurupa Valley and Perris.</t>
  </si>
  <si>
    <t xml:space="preserve">FY25 Sheriff Department - Contractual Revenue from Cities of Coachella and San Jacinto, Hemet USD, San Jacinto USD and Mt. San Jacinto CC. </t>
  </si>
  <si>
    <t>FY25 New Allocation. Realignment 1 - Transfer September 24 Realignment Revenue for Sales Tax to Soc. Services - GF Operating Accounts.</t>
  </si>
  <si>
    <t>FY24 Executive Office Revenue Sharing Agreement with the cities of Moreno Valley, Riverside and Perris.</t>
  </si>
  <si>
    <t>FY25 Realignment 1 - Transfer September 2024 Sales Tax to GF Oper Acc Realignment Revenue for Sales Tax to Health General Fund Operating Account.</t>
  </si>
  <si>
    <t>FY25 2015A IFA Refunding Bonds.
FY24-25 Annual Billing 2006A (Family Health Clinic Perris Sherriff Stn) DS</t>
  </si>
  <si>
    <t>FY25 2021A IFA Bonds
FY24-25 Annual Billing 2021A IFA Bonds (Jail &amp; Juvenile Courts) DS.</t>
  </si>
  <si>
    <t>h-56</t>
  </si>
  <si>
    <t>AR02616938</t>
  </si>
  <si>
    <t>00C2614785</t>
  </si>
  <si>
    <t>0002614397</t>
  </si>
  <si>
    <t>0002615469</t>
  </si>
  <si>
    <t>0002615533</t>
  </si>
  <si>
    <t>0002615884</t>
  </si>
  <si>
    <t>0002615340</t>
  </si>
  <si>
    <t>0002615570</t>
  </si>
  <si>
    <t>0002615556</t>
  </si>
  <si>
    <t>0002615561</t>
  </si>
  <si>
    <t>00R2614785</t>
  </si>
  <si>
    <t>To reverse Journal ID 0002614785. New Allocation. Realignment 1 - Transfer September 24 Realignment Revenue for Sales Tax to Soc. Services - GF Operating Accounts.</t>
  </si>
  <si>
    <t>FY22-24 Probation Dept Revenue from ELC Detection &amp; Mitigation of COVID-19 in Confinement Facilities Clm 8/1/21-6/30/24.</t>
  </si>
  <si>
    <t>FY25 To correct Journal ID 0002614785. New Allocation. Realignment 1 - Transfer September 24 Realignment Revenue for Sales Tax to Soc. Services - GF Operating Accounts.</t>
  </si>
  <si>
    <t>FY25 Reverse TCR 13144 to reverse revenue claimed by Office on Aging that belongs to RUHS Public Health.</t>
  </si>
  <si>
    <t>i-56</t>
  </si>
  <si>
    <t>AP02617782</t>
  </si>
  <si>
    <t>AP02617820</t>
  </si>
  <si>
    <t>0002615467</t>
  </si>
  <si>
    <t>0002616333</t>
  </si>
  <si>
    <t>2017A IFA Bonds
FY24-25 Annual Billing 2017A IFA Bonds (Indio Law Building) DS.</t>
  </si>
  <si>
    <t>2021B IFA Bonds
FY24-25 Annual Billing 2021B IFA Bonds (2015 PFA Lease Rev Refd) DS.</t>
  </si>
  <si>
    <t>CalSAWS - Oasis JE for 9/26/2024 Payroll.</t>
  </si>
  <si>
    <t>CalSAWS - Oasis JE for 9/27/2024 Payroll.</t>
  </si>
  <si>
    <t>FY25 Mental Health issued 17 warrants ranging from $8.50 to $501,944.13.</t>
  </si>
  <si>
    <t>FY24 &amp; FY25 Mental Health IGT Return for FFP Match.</t>
  </si>
  <si>
    <t xml:space="preserve">Department of Public Health State Revenue via TCR 134620. </t>
  </si>
  <si>
    <t>j-56</t>
  </si>
  <si>
    <t>AP02618069</t>
  </si>
  <si>
    <t>AR02617962</t>
  </si>
  <si>
    <t>FMMAIN1220</t>
  </si>
  <si>
    <t>MAINT Other Oct 2024</t>
  </si>
  <si>
    <t xml:space="preserve">FY25 Department of Public Assistance issued 3 warrants ranging from $11 to $5M. Voucher payment from DPARC 00209233 to UDW AFSCME Local 3930 for October 2024 IHSS Health Benefits Payment Report in the amount of $5M. </t>
  </si>
  <si>
    <t xml:space="preserve">Sheriff Department - Contractual Revenue from City of Eastvale, City of Jurupa Valley, City of La Quinta, City of Norco, Corona-Norco Unified School Distr., Jurupa Community Services District, and Southern Coachella Valley. </t>
  </si>
  <si>
    <t>k-56</t>
  </si>
  <si>
    <t>AP02618424</t>
  </si>
  <si>
    <t>AR02618321</t>
  </si>
  <si>
    <t>0002618280</t>
  </si>
  <si>
    <t>FMPBH25031</t>
  </si>
  <si>
    <t>Fire Department issued 35 warrants. Amounts of warrants range from $10.00 to $1,567514.60. $1.5M Payment to Sourcewell Contract Voucher FPARC 00414612.</t>
  </si>
  <si>
    <t xml:space="preserve">Sheriff Department - Contractual Revenue from City of Temecula and Rancho Mirage, Great Oak High School, and SoCal Arena Co. </t>
  </si>
  <si>
    <t>FY25 RCRMC PAYOR MOU OCTOBER 24.</t>
  </si>
  <si>
    <t>FY25 Facilities Management -Sep Proj Billings.</t>
  </si>
  <si>
    <t>l-56</t>
  </si>
  <si>
    <t>AR02618692</t>
  </si>
  <si>
    <t>AR02618667</t>
  </si>
  <si>
    <t>00R2612206</t>
  </si>
  <si>
    <t>REVERSAL: To allocate FM-Administration expenses based on approved 50/50 Methodology FY24/25</t>
  </si>
  <si>
    <t>FY24 Fire Department - Fire Protection Revenue from City of Temecula.</t>
  </si>
  <si>
    <t xml:space="preserve">Sheriff Department - Contractual Revenue from City of Lake Elsinore. </t>
  </si>
  <si>
    <t>m-56</t>
  </si>
  <si>
    <t>0002618625</t>
  </si>
  <si>
    <t>Advance to Revenue-October 2024</t>
  </si>
  <si>
    <t>FMREAL0755</t>
  </si>
  <si>
    <t>1124 Payable Lease</t>
  </si>
  <si>
    <t xml:space="preserve">  </t>
  </si>
  <si>
    <t>FY25 General &amp; Auto Liability Insurance ISF 2nd Qrtr</t>
  </si>
  <si>
    <t>FY25 Property Insurance ISF 2nd Qrtr</t>
  </si>
  <si>
    <t>n-56</t>
  </si>
  <si>
    <t>AP02620105</t>
  </si>
  <si>
    <t>AP02620296</t>
  </si>
  <si>
    <t>AP02620241</t>
  </si>
  <si>
    <t>AR02620064</t>
  </si>
  <si>
    <t>0002617237</t>
  </si>
  <si>
    <t>0002617236</t>
  </si>
  <si>
    <t>0002619031</t>
  </si>
  <si>
    <t>ITACCS2504</t>
  </si>
  <si>
    <t>FY25 Sheriff Department issued 109 warrants ranging from $4.30 to $234,907.42.</t>
  </si>
  <si>
    <t>FY25 Mental Health issued 12 warrants ranging from $10.97 to $870,920.</t>
  </si>
  <si>
    <t>FY25 Sheriff Department issued 73 warrants ranging from -$321.02 to $1,222,476.57. $1.2 mil payment to Axon Enterprise Voucher SHARC 00575612.</t>
  </si>
  <si>
    <t>FY24 Fire Department - Fire Protection Revenue from City of Beaumont, Calimesa, Cahuilla Band of Indians, FY23 &amp; FY24 Depart of Forestry, and FY24 Cal Fire State of CA.</t>
  </si>
  <si>
    <t>FY25 This transaction reclassifies Family Support-CPFSS deferred revenue to General Fund earned revenue.</t>
  </si>
  <si>
    <t>FY25 This transaction reclassifies Local Revenue Fund 2011 deferred revenue to General Fund revenue for DPSS CalWORKs Assistance MOE.  Reference: WIC Section 17601.25.</t>
  </si>
  <si>
    <t>FY25 Assessor Clerk Recorder 1st Qtr SB2 Fee to State Controller's Office on Voucher ASARC 00062609.</t>
  </si>
  <si>
    <t>o-56</t>
  </si>
  <si>
    <t>AP02620722</t>
  </si>
  <si>
    <t>AP02620721</t>
  </si>
  <si>
    <t>AR02620489</t>
  </si>
  <si>
    <t>0002618956</t>
  </si>
  <si>
    <t>0002617524</t>
  </si>
  <si>
    <t>0002620342</t>
  </si>
  <si>
    <t>RCIT Enterprise Services October 2024.
M.O. 3.12, 1-09-2024</t>
  </si>
  <si>
    <t>FY25 FLEET MONTHLY BILLING PER 3 SEPTEMBER.</t>
  </si>
  <si>
    <t>FY2425 Arlington unfunded cost and MC
BH DX transfer to Medical Center - Oct
2024.</t>
  </si>
  <si>
    <t>FY25 Mental Health issued 49 warrants ranging from $10.86 to $487,400.20.</t>
  </si>
  <si>
    <t>FY25 Mental Health issued 115 warrants ranging from $0.61 to $483,774.00.</t>
  </si>
  <si>
    <t>FY24 Fire Department - Fire Protection Revenue from City of Menifee.</t>
  </si>
  <si>
    <t>p-56</t>
  </si>
  <si>
    <t>AR02621029</t>
  </si>
  <si>
    <t>0002620035</t>
  </si>
  <si>
    <t>GL Export_FY23-24 CY SEC SS4</t>
  </si>
  <si>
    <t>0002618951</t>
  </si>
  <si>
    <t>0002618784</t>
  </si>
  <si>
    <t xml:space="preserve">Retirement - PERS </t>
  </si>
  <si>
    <t>q-56</t>
  </si>
  <si>
    <t>AR02621457</t>
  </si>
  <si>
    <t>AR02621504</t>
  </si>
  <si>
    <t>0002621024</t>
  </si>
  <si>
    <t>GL Export FY 24-25 CY UNS UC1</t>
  </si>
  <si>
    <t>INTQ125CSH</t>
  </si>
  <si>
    <t>Q1 2025 INT CASH</t>
  </si>
  <si>
    <t>0002619070</t>
  </si>
  <si>
    <t>0002617947</t>
  </si>
  <si>
    <t>0002619054</t>
  </si>
  <si>
    <t>0002618943</t>
  </si>
  <si>
    <t>FY25 ISF Worker's Compensation 2nd Qrtr</t>
  </si>
  <si>
    <t>State Board of Equalization - Local Sales Tax Revenue. TCR #39800.</t>
  </si>
  <si>
    <t>r-56</t>
  </si>
  <si>
    <t>AR02621784</t>
  </si>
  <si>
    <t>AR02621802</t>
  </si>
  <si>
    <t>FY25 Auditor-Controller's Office - State Revenue from VLF Realignment and State Board of Equalization Local Sales Tax Revenue. TCR #39807.</t>
  </si>
  <si>
    <t>FY24 Fire Department - Fire Protection Revenue from City of Indio and Pechanga.</t>
  </si>
  <si>
    <t>s-56</t>
  </si>
  <si>
    <t>AR02622112</t>
  </si>
  <si>
    <t>AR02622114</t>
  </si>
  <si>
    <t>0002620011</t>
  </si>
  <si>
    <t>0002619742</t>
  </si>
  <si>
    <t>0002619731</t>
  </si>
  <si>
    <t>0002620016</t>
  </si>
  <si>
    <t>0002620018</t>
  </si>
  <si>
    <t>0002620027</t>
  </si>
  <si>
    <t>0002617925</t>
  </si>
  <si>
    <t>0002619729</t>
  </si>
  <si>
    <t>FY24 Department of Public Health State Revenue. HSARC TCR #134639.</t>
  </si>
  <si>
    <t>FY24 Short-Doyle/Medi-Cal Reimbursement &amp; FY25 Mental Health Revenue - Mcal FFP, SGF, IGT &amp; MCHIP. MHARC TCR #12834.</t>
  </si>
  <si>
    <t>FY25 ISF General Support Services 2nd Qrtr.</t>
  </si>
  <si>
    <t>t-56</t>
  </si>
  <si>
    <t xml:space="preserve"> </t>
  </si>
  <si>
    <t>AP02622551</t>
  </si>
  <si>
    <t>FY25 Department of Public Health issued 2 warrants one in the amount of $1,130,494 for Inland Southern California 211+. $1.1mil voucher HSARC V# 00245925.</t>
  </si>
  <si>
    <t>u-56</t>
  </si>
  <si>
    <t>AR02622801</t>
  </si>
  <si>
    <t>FY24 Short-Doyle/Medi-Cal Reimbursement &amp; FY25 Mental Health Revenue - Mcal FFP, SGF, IGT &amp; MCHIP. MHARC TCR #12838.</t>
  </si>
  <si>
    <t>v-56</t>
  </si>
  <si>
    <t>AP02623380</t>
  </si>
  <si>
    <t>AR02623162</t>
  </si>
  <si>
    <t>AR02623234</t>
  </si>
  <si>
    <t>AR02623237</t>
  </si>
  <si>
    <t>MHBRC</t>
  </si>
  <si>
    <t>FY25 Mental Health issued 1 warrant in the amount of $1.4M to the Department of Health Care Services. Voucher MHBRC 00004715.</t>
  </si>
  <si>
    <t>Mental Health - Revenue received for Federal SAPT, Lease to Non-County Agency, Probate Fees, Mental Health Services, Other Forfeitures, and Penalties. TCR MHARC 12824.</t>
  </si>
  <si>
    <t>Mental Health - Revenue received for Federal Medi-Cal Patients, Mental Health State Allocation, Probate Fees, and Mental Health Services. TCR MHARC 12836.</t>
  </si>
  <si>
    <t xml:space="preserve">Sheriff Department - Contractual Revenue from City of Moreno Valley and City of Coachella. </t>
  </si>
  <si>
    <t>w-56</t>
  </si>
  <si>
    <t>AP02623657</t>
  </si>
  <si>
    <t>AP02623658</t>
  </si>
  <si>
    <t>0002623481</t>
  </si>
  <si>
    <t>FY25 Repayment of Advance to cover POB Advance to 35200.</t>
  </si>
  <si>
    <t>FY25 Mental Health issued 77 warrants ranging from $50 to $331,245.35.</t>
  </si>
  <si>
    <t>FY25 Mental Health issued 59 warrants ranging from $200 to $242,775.34.</t>
  </si>
  <si>
    <t>Department of Public Health State Revenue. $2.6mil from Future of PH and $1.2mil from Riv DTT on HSARC TCR# 134632.</t>
  </si>
  <si>
    <t>x-56</t>
  </si>
  <si>
    <t>AP02623963</t>
  </si>
  <si>
    <t>AP02623962</t>
  </si>
  <si>
    <t>FMELC25031</t>
  </si>
  <si>
    <t>0002622313</t>
  </si>
  <si>
    <t>0002622140</t>
  </si>
  <si>
    <t>FY25 Mental Health issued 48 warrants ranging from $270 to $499,687.60.</t>
  </si>
  <si>
    <t>FY25 Mental Health issued 73 warrants ranging from $503.69 to $529,825.</t>
  </si>
  <si>
    <t>FY25 SEP Utility Billings ELC.</t>
  </si>
  <si>
    <t>FY25 Social Security PP22.</t>
  </si>
  <si>
    <t>FY25 Retirement - PERS PP22.</t>
  </si>
  <si>
    <t>y-56</t>
  </si>
  <si>
    <t>AP02624292</t>
  </si>
  <si>
    <t>AR02624123</t>
  </si>
  <si>
    <t>0002622007</t>
  </si>
  <si>
    <t>0002622012</t>
  </si>
  <si>
    <t>0002620425</t>
  </si>
  <si>
    <t>0002621004</t>
  </si>
  <si>
    <t>00C2612206</t>
  </si>
  <si>
    <t>0002622008</t>
  </si>
  <si>
    <t>0002622015</t>
  </si>
  <si>
    <t>0002622016</t>
  </si>
  <si>
    <t>0002622013</t>
  </si>
  <si>
    <t>0002620426</t>
  </si>
  <si>
    <t>0002622304</t>
  </si>
  <si>
    <t>FY25 Salaries PP22.</t>
  </si>
  <si>
    <t>FY25 Realignment - Transfer October 2024 Realignment Revenue for VLF to Health GF Operating Accounts.</t>
  </si>
  <si>
    <t>FY25 Realignment 1 - Transfer October 2024 Sales Tax to GF Oper Acc Realignment Revenue for Sales Tax to Health General Fund Operating Account.</t>
  </si>
  <si>
    <t>FY25 Mental Health IGT Return for FFP Match.</t>
  </si>
  <si>
    <t>FY25 Trial Court Security for October 2024.</t>
  </si>
  <si>
    <t>FY25 Realignment 2 - Transfer October 2024 Sales Tax, State Hospital Offset and Managed Care Offset from Mental Health sub-fund deferred revenue account to GF operating account.</t>
  </si>
  <si>
    <t>FY25 New Allocation. Realignment 1 - Transfer October 24 Realignment Revenue for Sales Tax to Soc. Services - GF Operating Accounts.</t>
  </si>
  <si>
    <t>FY25 PSAF - 1/2% Sales Tax Distribution October 2024.</t>
  </si>
  <si>
    <t>FY2425 YTD October 2024 Revenue 
funding Arlington FFP Final &amp; Main Campus FSP.</t>
  </si>
  <si>
    <t>JPA-RR_Sept2024&amp;FY23/24Growth&amp;Alloc.</t>
  </si>
  <si>
    <t>FY25 Mental Health issued 31 warrants ranging from $21.12 to $392,223.94.</t>
  </si>
  <si>
    <t>z-56</t>
  </si>
  <si>
    <t>AP02624731</t>
  </si>
  <si>
    <t>AR02624556</t>
  </si>
  <si>
    <t>0002624070</t>
  </si>
  <si>
    <t>0002620979</t>
  </si>
  <si>
    <t>RCRMC PAYOR MOU NOVEMBER 24/25</t>
  </si>
  <si>
    <t>AC/CR Adjustment MHSA revenue based on Cost Report 
FY11/12 through FY19/20</t>
  </si>
  <si>
    <t>FY24 Department of Public Health State Revenue. HSARC TCR# 134648.</t>
  </si>
  <si>
    <t>FY25 Registrar of Voters Replenishment Voucher was cancelled. RVARC Voucher# 00054296.</t>
  </si>
  <si>
    <t>a-57</t>
  </si>
  <si>
    <t>AP02625034</t>
  </si>
  <si>
    <t>AR02624868</t>
  </si>
  <si>
    <t xml:space="preserve">FY25 Mental Health issued 33 warrants ranging from $8.46 to $1.67M. Two separate paymets of $1.39M and $1.67M were made to MFI Recovery Center (Voucher 00324150 and 00325516). </t>
  </si>
  <si>
    <t xml:space="preserve">Centers for Disease Control ACH Credit Deposit ID 134649. </t>
  </si>
  <si>
    <t>b-57</t>
  </si>
  <si>
    <t>AR02625187</t>
  </si>
  <si>
    <t>FY24 Department of Public Health State Revenue for Riverside Medi-Cal. HSARC TCR# 134650.</t>
  </si>
  <si>
    <t>c-57</t>
  </si>
  <si>
    <t>AR02625494</t>
  </si>
  <si>
    <t>AR02625493</t>
  </si>
  <si>
    <t>Sheriff Department - Contractual Revenue from the Department of State Hospitals.</t>
  </si>
  <si>
    <t>Expected Ending Cash</t>
  </si>
  <si>
    <t>d-57</t>
  </si>
  <si>
    <t>AP02626388</t>
  </si>
  <si>
    <t>AP02626309</t>
  </si>
  <si>
    <t>AR02626220</t>
  </si>
  <si>
    <t>AR02626225</t>
  </si>
  <si>
    <t>0002626137</t>
  </si>
  <si>
    <t>Advance to Revenue-November 2024</t>
  </si>
  <si>
    <t>FY25 Mental Health issued 32 warrants ranging from $45.65 to $422,136.53.</t>
  </si>
  <si>
    <t>FY25 Department of Public Social Services issued 27 warrants ranging from $30.68 to $724,677.01.</t>
  </si>
  <si>
    <t>FY25 Facilities Management revenue from Leases. $1.3mil from GSA on FMARC TCR# 16345.</t>
  </si>
  <si>
    <t>e-57</t>
  </si>
  <si>
    <t>AR02626517</t>
  </si>
  <si>
    <t>Sheriff Department - Contractual Revenue from City of Eastvale, Jurupa Valley, Corona-Norco USD, Jurupa USD, Roosevelt HS, Rubidoux HS and Jurupa Community Services District.</t>
  </si>
  <si>
    <t>f-57</t>
  </si>
  <si>
    <t>AP02627028</t>
  </si>
  <si>
    <t>AP02627029</t>
  </si>
  <si>
    <t>AR02626879</t>
  </si>
  <si>
    <t>0002626145</t>
  </si>
  <si>
    <t>0002626125</t>
  </si>
  <si>
    <t>0002626476</t>
  </si>
  <si>
    <t>GL Export: 11/12/2024 Business Date</t>
  </si>
  <si>
    <t>0002625731</t>
  </si>
  <si>
    <t>FMMAIN1221</t>
  </si>
  <si>
    <t>0002625612</t>
  </si>
  <si>
    <t>MAINT Other Nov 2024</t>
  </si>
  <si>
    <t>FY25 Mental Health issued 68 warrants ranging from $20.90 to $444,696.</t>
  </si>
  <si>
    <t>FY25 Mental Health issued 46 warrants ranging from $21.74 to $488,307.58.</t>
  </si>
  <si>
    <t>g-57</t>
  </si>
  <si>
    <t>AP02627341</t>
  </si>
  <si>
    <t>AR02627241</t>
  </si>
  <si>
    <t>AR02627242</t>
  </si>
  <si>
    <t>AR02627193</t>
  </si>
  <si>
    <t>0002627130</t>
  </si>
  <si>
    <t>0002626493</t>
  </si>
  <si>
    <t>0002625729</t>
  </si>
  <si>
    <t>Reclass Gen Fund Expenses to AB109 Fund 11167 FY24/25 July - Sep 2024</t>
  </si>
  <si>
    <t>FY25 Department of Public Social Services issued 3 warrants ranging from $476.91 to $5,297,143.38. $5.2mil to UDW AFSCME Local 3930 for IHSS Health Ben/Life Ins. DPARC Voucher# 00209826.</t>
  </si>
  <si>
    <t>FY25 Mental Health revenue from the Advocates for Human Potential. MHARC TCR# 12846.</t>
  </si>
  <si>
    <t>FY25 Mental Health State Revenue received for MCal SGF, FFP and IGT. MHARC TCR# 12847.</t>
  </si>
  <si>
    <t>Social Security PP23</t>
  </si>
  <si>
    <t>Retirement - PERS PP23</t>
  </si>
  <si>
    <t>Salaries PP23</t>
  </si>
  <si>
    <t>h-57</t>
  </si>
  <si>
    <t>AP02627906</t>
  </si>
  <si>
    <t>FY25 Mental Health issued 97 warrants ranging from $17.06 to $444,308.</t>
  </si>
  <si>
    <t>i-57</t>
  </si>
  <si>
    <t>AP02628358</t>
  </si>
  <si>
    <t>AR02628136</t>
  </si>
  <si>
    <t>AR02628134</t>
  </si>
  <si>
    <t>0002627584</t>
  </si>
  <si>
    <t>0002626826</t>
  </si>
  <si>
    <t>0002626835</t>
  </si>
  <si>
    <t>0002626838</t>
  </si>
  <si>
    <t>FY25 Mental Health issued 26 warrants ranging from $65.25 to $698,996.42.</t>
  </si>
  <si>
    <t>Sheriff Department - Contractual Revenue from City of Jurupa Valley.</t>
  </si>
  <si>
    <t>j-57</t>
  </si>
  <si>
    <t>AP02628749</t>
  </si>
  <si>
    <t>AR02628564</t>
  </si>
  <si>
    <t>AR02628544</t>
  </si>
  <si>
    <t>0002628050</t>
  </si>
  <si>
    <t>0002626866</t>
  </si>
  <si>
    <t>0002626843</t>
  </si>
  <si>
    <t>0002627178</t>
  </si>
  <si>
    <t>0002626168</t>
  </si>
  <si>
    <t>0002626834</t>
  </si>
  <si>
    <t>AB109 Revenue FY2425 1st Quarter</t>
  </si>
  <si>
    <t>FY25 Sheriff Department issued 152 warrants ranging from $11.82 to $1,350,000. $1.35mil annual payment to Flock Safety for contract SHARC-68087-003-10/28 on SHARC Voucher# 00580945.</t>
  </si>
  <si>
    <t>FY25 Mental Health Community Health Block Grant (MHBG) Q1 Claim revenue. MHARC TCR# 12854.</t>
  </si>
  <si>
    <t>FY24 Q3 State Board of Equalization - Local Sales Tax Revenue. ACARC TCR# 39933.</t>
  </si>
  <si>
    <t>k-57</t>
  </si>
  <si>
    <t>AP02629203</t>
  </si>
  <si>
    <t>0002628119</t>
  </si>
  <si>
    <t>0002628114</t>
  </si>
  <si>
    <t>0002628782</t>
  </si>
  <si>
    <t>0002628477</t>
  </si>
  <si>
    <t>0002623710</t>
  </si>
  <si>
    <t>0002623145</t>
  </si>
  <si>
    <t>CalSAWS- JE for 11/01/2024</t>
  </si>
  <si>
    <t>CalSAWS - Oasis JE for 10/29/2024.</t>
  </si>
  <si>
    <t>FY25 Mental Health issued 38 warrants ranging from $38.50 to $1,459,614.52. $1.45mil payment to MFI Recovery Center on MHARC Voucher# 00326339.</t>
  </si>
  <si>
    <t>l-57</t>
  </si>
  <si>
    <t>AR02629458</t>
  </si>
  <si>
    <t>AR02629418</t>
  </si>
  <si>
    <t>0002623150</t>
  </si>
  <si>
    <t>ITACCS2505</t>
  </si>
  <si>
    <t>FMREAL0757</t>
  </si>
  <si>
    <t>0002626129</t>
  </si>
  <si>
    <t>0002628117</t>
  </si>
  <si>
    <t>CalSAWS - Oasis JE for 10/30/2024.</t>
  </si>
  <si>
    <t>1224 Payable Lease</t>
  </si>
  <si>
    <t>FY25 FLEET MONTHLY BILLING PER 4 OCTOBER</t>
  </si>
  <si>
    <t>FY25 Executive Office - TRANS via EOARC TCR# 13597.</t>
  </si>
  <si>
    <t>RCIT Enterprise Services November 2024
M.O. 3.12, 1-09-2024.</t>
  </si>
  <si>
    <t>m-57</t>
  </si>
  <si>
    <t>AR02629906</t>
  </si>
  <si>
    <t>AR02629904</t>
  </si>
  <si>
    <t>AR02629854</t>
  </si>
  <si>
    <t>0002624084</t>
  </si>
  <si>
    <t>FY2425 Arlington unfunded cost and MC
BH DX transfer to Medical Center - Nov
2024</t>
  </si>
  <si>
    <t>FY25 Mental Health State Revenue received for MCal SGF, FFP and IGT. MHARC TCR# 12861.</t>
  </si>
  <si>
    <t>FY25 Mental Health State Revenue received for MCal SGF, FFP and IGT. MHARC TCR# 12858.</t>
  </si>
  <si>
    <t>Sheriff Department - Contractual Revenue from City of Indian Wells and Department of State Hospitals.</t>
  </si>
  <si>
    <t>n-57</t>
  </si>
  <si>
    <t>AP02630468</t>
  </si>
  <si>
    <t>AR02630260</t>
  </si>
  <si>
    <t>FY25 Medical Center issued 2 warrants to the Faculty Physicians and Surgeons of LLUSM. Each voucher was $502k totalling $1mil on MCARC Vouchers 00578153 and 00578156.</t>
  </si>
  <si>
    <t>FY25 Auditor-Controller's Office - State Revenue from Public Health &amp; DPSS VLF Realignment. ACARC TCR #39955.</t>
  </si>
  <si>
    <t>o-57</t>
  </si>
  <si>
    <t>0002629393</t>
  </si>
  <si>
    <t>0002629312</t>
  </si>
  <si>
    <t>PRS</t>
  </si>
  <si>
    <t>0002629309</t>
  </si>
  <si>
    <t>0002629127</t>
  </si>
  <si>
    <t>FY25 1st Qtr OOC General Fund
Revenue Distribution Jul - Sep 2024</t>
  </si>
  <si>
    <t>Flex Excess (BOS 3.23 6-25-19/MCU &amp; TENTATIVE AGRMNT 2019-2023/SEIU) PP24 PPE 11132024</t>
  </si>
  <si>
    <t>Revenue/ Expenses</t>
  </si>
  <si>
    <t xml:space="preserve">Description </t>
  </si>
  <si>
    <t>Description 2</t>
  </si>
  <si>
    <t>Accounts</t>
  </si>
  <si>
    <t>OOC General Fund Distribution</t>
  </si>
  <si>
    <t>FY25 1st Qtr</t>
  </si>
  <si>
    <t>Source Code Definition</t>
  </si>
  <si>
    <t>Source Code</t>
  </si>
  <si>
    <t>ITE</t>
  </si>
  <si>
    <t>IT Enterprise Solutions</t>
  </si>
  <si>
    <t>ITG</t>
  </si>
  <si>
    <t>IT GIS</t>
  </si>
  <si>
    <t>PK</t>
  </si>
  <si>
    <t>PFS</t>
  </si>
  <si>
    <t>PRF</t>
  </si>
  <si>
    <t>Purchasing-Fleet Accrl Entries</t>
  </si>
  <si>
    <t>Parks Department</t>
  </si>
  <si>
    <t>Payroll Fees</t>
  </si>
  <si>
    <t>p-57</t>
  </si>
  <si>
    <t>AP02631356</t>
  </si>
  <si>
    <t>AP02631355</t>
  </si>
  <si>
    <t>AR02631099</t>
  </si>
  <si>
    <t>0002630617</t>
  </si>
  <si>
    <t>0002630664</t>
  </si>
  <si>
    <t>0002630618</t>
  </si>
  <si>
    <t>0002630671</t>
  </si>
  <si>
    <t>0002630672</t>
  </si>
  <si>
    <t>0002630665</t>
  </si>
  <si>
    <t>0002629307</t>
  </si>
  <si>
    <t>PSAF - 1/2% Sales Tax Distribution November 2024.</t>
  </si>
  <si>
    <t>New Allocation. Realignment 1 - Transfer November 24 Realignment Revenue for Sales Tax to Soc. Services - GF Operating Accounts.</t>
  </si>
  <si>
    <t>Realignment 2 - Transfer November 2024 Sales Tax, State Hospital Offset and Managed Care Offset from Mental Health sub-fund deferred revenue account to GF operating account.</t>
  </si>
  <si>
    <t>Trial Court Security for November 2024.</t>
  </si>
  <si>
    <t>Realignment 1 - Transfer November 2024 Sales Tax to GF Oper Acc Realignment Revenue for Sales Tax to Health General Fund Operating Account.</t>
  </si>
  <si>
    <t>Realignment - Transfer November 2024 Realignment Revenue for VLF to Health GF Operating Accounts.</t>
  </si>
  <si>
    <t>FY25 Mental Health issued 210 warrants ranging from $11.02 to $469,214.22.</t>
  </si>
  <si>
    <t>Mental Health/Other Department Issued Warrants</t>
  </si>
  <si>
    <t>FY25 Mental Health issued 285 warrants ranging from $40 to $434,832.55.</t>
  </si>
  <si>
    <t>Sheriff Department - Contractual Revenue from the Department of State Hospitals and Lake Elsinore School District.</t>
  </si>
  <si>
    <t>Sheriff's Contractual Revenue</t>
  </si>
  <si>
    <t>Realignment PSAF - 1/2% Sales Tax Distribution</t>
  </si>
  <si>
    <t>118401/118601</t>
  </si>
  <si>
    <t>750740/751500</t>
  </si>
  <si>
    <t>Realignment 1 Sales Tax to Social Sec</t>
  </si>
  <si>
    <t>Realignment 1 to Social Services</t>
  </si>
  <si>
    <t>Realignment 2 Sales Tax-Hospital</t>
  </si>
  <si>
    <t>Trial Court Security</t>
  </si>
  <si>
    <t>Realignment 1 Sales Tax to Health</t>
  </si>
  <si>
    <t>536100/573100</t>
  </si>
  <si>
    <t>q-57</t>
  </si>
  <si>
    <t>AP02631811</t>
  </si>
  <si>
    <t>FY25 Mental Health issued 102 warrants ranging from $26.97 to $316,800.</t>
  </si>
  <si>
    <t>Recognize Revenue YTEC-YOBG Program IS and YOBG-Aftercare for Qtr 1 2024 Exp</t>
  </si>
  <si>
    <t>CCPIA - Recognize Revenues for Q1 2024/25 Direct Actuals.</t>
  </si>
  <si>
    <t>0002628825</t>
  </si>
  <si>
    <t>0002628824</t>
  </si>
  <si>
    <t>r-57</t>
  </si>
  <si>
    <t>0002631568</t>
  </si>
  <si>
    <t>General Fund Advance to POB</t>
  </si>
  <si>
    <t>Mental Health Revenue</t>
  </si>
  <si>
    <t>YTEC-YOBG Q1</t>
  </si>
  <si>
    <t>CCPIA</t>
  </si>
  <si>
    <t>FY25 PP24</t>
  </si>
  <si>
    <t>s-57</t>
  </si>
  <si>
    <t>AP02632525</t>
  </si>
  <si>
    <t>AR02632291</t>
  </si>
  <si>
    <t>Registrar of Voters issued 1,857 warrants. Amount of warrants range from $60 to $1,238.</t>
  </si>
  <si>
    <t>One-Time</t>
  </si>
  <si>
    <t>Registrar of Voter Expense</t>
  </si>
  <si>
    <t>Sheriff Department - Contractual Revenue from the City of Lake Elsinore.</t>
  </si>
  <si>
    <t>t-57</t>
  </si>
  <si>
    <t>0002631992</t>
  </si>
  <si>
    <t>ITACCS2506</t>
  </si>
  <si>
    <t>0002630585</t>
  </si>
  <si>
    <t>0002630243</t>
  </si>
  <si>
    <t>0002630245</t>
  </si>
  <si>
    <t>GL FY 24-25 CY SEC SA1</t>
  </si>
  <si>
    <t>RCIT Enterprise Services December 2024
M.O. 3.12, 1-09-2024</t>
  </si>
  <si>
    <t>CalSAWS- Oasis JE for 12/2/2024</t>
  </si>
  <si>
    <t>CalSAWS- Oasis JE for 11/25/2024</t>
  </si>
  <si>
    <t>CalSAWS- Oasis JE for 11/26/2024</t>
  </si>
  <si>
    <t>Property Tax Apportionment - Secured</t>
  </si>
  <si>
    <t>700020/772830</t>
  </si>
  <si>
    <t>FY25 Secured Advance 1 - CY SEC SA1</t>
  </si>
  <si>
    <t xml:space="preserve">Information Technology Monthly Service </t>
  </si>
  <si>
    <t>FY2025 December RCIT Service</t>
  </si>
  <si>
    <t>DPSS Expense - CalSaws</t>
  </si>
  <si>
    <t>u-57</t>
  </si>
  <si>
    <t>AP02633617</t>
  </si>
  <si>
    <t>AR02633502</t>
  </si>
  <si>
    <t>AR02633460</t>
  </si>
  <si>
    <t>0002633067</t>
  </si>
  <si>
    <t>RCRMC PAYOR MOU DECEMBER 24/25</t>
  </si>
  <si>
    <t>Fire Department issued 23 warrants. Amounts of warrants range from $430.36 to $963,439.21. $963k Payment to City of Indian Wells for reimb of FY24 4th Qtr overpayment. FPARC Voucher 00416950.</t>
  </si>
  <si>
    <t>Fire Department Expense</t>
  </si>
  <si>
    <t>Fire Department Issued Warrants</t>
  </si>
  <si>
    <t>State Revenue for Medi-Cal Programs</t>
  </si>
  <si>
    <t>FY24 Mental Health State Short-Doyle/Medi-Cal Revenue. MHARC TCR# 12865.</t>
  </si>
  <si>
    <t>732140/751401/767185/767186</t>
  </si>
  <si>
    <t>112100/118401/118601</t>
  </si>
  <si>
    <t>Sheriff Department - Contractual Revenue from the City of San Jacinto, Moreno Valley, San Jacinto USD, San Jacinto Valley Academy, Thomas Miller Mortuary and Walker Family Funeral Services.</t>
  </si>
  <si>
    <t>MHARC - RCRMC PAYOR MOU</t>
  </si>
  <si>
    <t>FY25 December 2024</t>
  </si>
  <si>
    <t>v-57</t>
  </si>
  <si>
    <t>AR02634187</t>
  </si>
  <si>
    <t>0002619996</t>
  </si>
  <si>
    <t>0002632642</t>
  </si>
  <si>
    <t>FMREAL0759</t>
  </si>
  <si>
    <t>FMPBH25051</t>
  </si>
  <si>
    <t>Reverses initial redistribution JE 0002628114 posted on 11/21/2024. Pending documents have now been received/processed providing detailed advance/settlement information and this transaction redistributes accordingly.</t>
  </si>
  <si>
    <t>0125 Payable Lease</t>
  </si>
  <si>
    <t>FY24/25-Nov Proj Billings</t>
  </si>
  <si>
    <t>Sheriff Department - Contractual Revenue from the City of Palm Desert, IRAT, FBI-JTTF and FBI Safe Street Task Force.</t>
  </si>
  <si>
    <t>118301/118501</t>
  </si>
  <si>
    <t>DPSS/ DPARC Contributions to GF</t>
  </si>
  <si>
    <t>118300/118400/230141</t>
  </si>
  <si>
    <t>DPSS Revenue</t>
  </si>
  <si>
    <t>230141/530440</t>
  </si>
  <si>
    <t>CALSAWS Redistribution</t>
  </si>
  <si>
    <t>Facilities Lease</t>
  </si>
  <si>
    <t>FY2025 January Lease</t>
  </si>
  <si>
    <t>520330/520820/526700/526730</t>
  </si>
  <si>
    <t>Facilities Expense</t>
  </si>
  <si>
    <t>FY2025 November Project Billings</t>
  </si>
  <si>
    <t>522310/537280/537320</t>
  </si>
  <si>
    <t>w-57</t>
  </si>
  <si>
    <t>AP02634690</t>
  </si>
  <si>
    <t>AP02634821</t>
  </si>
  <si>
    <t>AP02634753</t>
  </si>
  <si>
    <t>AR02634605</t>
  </si>
  <si>
    <t>0002634179</t>
  </si>
  <si>
    <t>0002633780</t>
  </si>
  <si>
    <t>0002633338</t>
  </si>
  <si>
    <t>2024 Jan TIF Transfer Sec to RPTTF</t>
  </si>
  <si>
    <t>Advance To Revenue-December 2024</t>
  </si>
  <si>
    <t>FY2425 Arlington unfunded cost and MC
BH DX transfer to Medical Center - December
2024</t>
  </si>
  <si>
    <t>DPSS IHSS Voucher - Health Benefits</t>
  </si>
  <si>
    <t>Registrar of Voters Expense</t>
  </si>
  <si>
    <t>523750/523800</t>
  </si>
  <si>
    <t>FY25 November 5th Election</t>
  </si>
  <si>
    <t>FY25 November 5th Election Payroll</t>
  </si>
  <si>
    <t>FY25 Department of Public Social Services issued 7 warrants ranging from $626.41 to $5,068,551,.34. $5mil payment to UDW AFSCME Local 3930 for IHSS Health Benefits. DPARC Voucher 00210117.</t>
  </si>
  <si>
    <t>FY25 Registrar of Voters issued 10 warrants ranging from $1,018 to $1,292,374.15. $1.29mil payment to Consolidated Printers for Election VIGs. RVARC Voucher #00056443. $1.076mil payment to ProVot Solutions for Official Imagecast Ballots. RVARC Voucher #00054509.</t>
  </si>
  <si>
    <t>FY25 Department of Public Health issued 14 warrants ranging from $10.77 to $1,877,96.50. $1.8mil payment to Inland Southern California 211+. HSARC Voucher# 00247002.</t>
  </si>
  <si>
    <t>Public Health Issued Warrants</t>
  </si>
  <si>
    <t xml:space="preserve">Fire Department- Fire Protection Revenue from the City of Desert Hot Springs, the State of California and Automobile Club. </t>
  </si>
  <si>
    <t>Fire Contractual Revenue</t>
  </si>
  <si>
    <t>FY 2025 Fire Contractual Revenue</t>
  </si>
  <si>
    <t>Property Tax Apportionment - Redevelopment</t>
  </si>
  <si>
    <t>FY24-25 RPTTF Collection 1 - RPTTF Jan</t>
  </si>
  <si>
    <t>DCSS Child Support Services Revenue</t>
  </si>
  <si>
    <t>750320, 761020, 761040</t>
  </si>
  <si>
    <t>Mental Health Transfer to Medical Center</t>
  </si>
  <si>
    <t>FY25 Mental Health Transfer to Medical Center -December</t>
  </si>
  <si>
    <t>x-57</t>
  </si>
  <si>
    <t>AR02635012</t>
  </si>
  <si>
    <t>AR02635011</t>
  </si>
  <si>
    <t>0002632570</t>
  </si>
  <si>
    <t>0002632401</t>
  </si>
  <si>
    <t>Sheriff Department - Contractual Revenue from the City of Eastvale, Jurupa Valley, Norco, Corona-Norco USD, Jurupa USD, Jurupa Valley HS, Patriot HS, Roosevelt HS and Rubidoux HS.</t>
  </si>
  <si>
    <t>118501/118601</t>
  </si>
  <si>
    <t>Sheriff Department - Contractual Revenue from the City of Temecula, Temecula Valley HS and Chaparral HS.</t>
  </si>
  <si>
    <t>FY25 PP25</t>
  </si>
  <si>
    <t>y-57</t>
  </si>
  <si>
    <t>AP02635583</t>
  </si>
  <si>
    <t>AP02635699</t>
  </si>
  <si>
    <t>AR02635405</t>
  </si>
  <si>
    <t>AR02635407</t>
  </si>
  <si>
    <t>0002632651</t>
  </si>
  <si>
    <t xml:space="preserve">Salaries </t>
  </si>
  <si>
    <t>FY25 FLEET MONTHLY BILLING PER 5 NOVEMBER</t>
  </si>
  <si>
    <t>0002632568</t>
  </si>
  <si>
    <t>Revenue</t>
  </si>
  <si>
    <t xml:space="preserve">Expense </t>
  </si>
  <si>
    <t xml:space="preserve">Sheriff Department - Contractual Revenue from the City of Rancho Mirage and City of Indian Wells. </t>
  </si>
  <si>
    <t>118501/118602</t>
  </si>
  <si>
    <t xml:space="preserve">Sheriff Department - Contractual Revenue from the City of Perris and Perris Union High School District. </t>
  </si>
  <si>
    <t>z-57</t>
  </si>
  <si>
    <t>AR02635823</t>
  </si>
  <si>
    <t>0002634919</t>
  </si>
  <si>
    <t>0002634569</t>
  </si>
  <si>
    <t>To record FY 2024/25 COWCAP Billing for Non-Governmental fund charges.</t>
  </si>
  <si>
    <t>To record FY 2024/25 COWCAP Billings for Non-GF Governmental Fund charges.</t>
  </si>
  <si>
    <t>COWCAP</t>
  </si>
  <si>
    <t>Sheriff Department - Contractual Revenue from City of La Quinta, La Quinta High School, and Scope Events.</t>
  </si>
  <si>
    <t>a-58</t>
  </si>
  <si>
    <t>AP02636723</t>
  </si>
  <si>
    <t>0002635818</t>
  </si>
  <si>
    <t>GL FY 24-25 CY UNS UC2</t>
  </si>
  <si>
    <t>Sheriff Department issued 38 warrants. Amounts of warrants range from $6.25 to $933,919.80.</t>
  </si>
  <si>
    <t>Sheriff Department issued 180 warrants. Amounts of warrants range from $5.49 to $345,152.59.</t>
  </si>
  <si>
    <t>Sheriff's Expense</t>
  </si>
  <si>
    <t>Sheriff's Issued Warrants</t>
  </si>
  <si>
    <t>Property Tax Apportionment - Unsecured</t>
  </si>
  <si>
    <t>FY25 Unsecured Collection 2 - CY UNS UC2</t>
  </si>
  <si>
    <t>701020/733000/772830</t>
  </si>
  <si>
    <t>b-58</t>
  </si>
  <si>
    <t>AR02636878</t>
  </si>
  <si>
    <t>State Board of Equalization-Sales Tax</t>
  </si>
  <si>
    <t>FY25 October 2024</t>
  </si>
  <si>
    <t>Auditor-Controller's Office -  State Board of Equalization - Local Sales Tax Revenue. ACARC TCR# 40078.</t>
  </si>
  <si>
    <t>c-58</t>
  </si>
  <si>
    <t>AP02637464</t>
  </si>
  <si>
    <t>AR02637308</t>
  </si>
  <si>
    <t>0002636761</t>
  </si>
  <si>
    <t>0002635314</t>
  </si>
  <si>
    <t>FMMAIN1222</t>
  </si>
  <si>
    <t>Executive Office Courts</t>
  </si>
  <si>
    <t>FY25 2nd Quarter</t>
  </si>
  <si>
    <t>FY25 Executive Office issued 8 warrants. Amounts of warrants range from  $390.15 to $6,241,447. $6.2mil payment made to State Treasurer's Office for MOE 2nd Qtr. EOARC Voucher#  00050855.</t>
  </si>
  <si>
    <t>Purchasing Fleet Expense</t>
  </si>
  <si>
    <t>FY25 Fleet Services November 2024</t>
  </si>
  <si>
    <t>FY25 Mental Health issued 4 warrants ranging from $53,179.64 to $388,835.98.</t>
  </si>
  <si>
    <t>FY25 Mental Health State Revenue received for MCal SGF, FFP and IGT. MHARC TCR# 12878.</t>
  </si>
  <si>
    <t>732140/751600/767181/775520</t>
  </si>
  <si>
    <t>FY25 PP26</t>
  </si>
  <si>
    <t>Tenant Improvement Reimbursement</t>
  </si>
  <si>
    <t>FY25 Facilities Management Chargeback for Tenant Improvements for PR079</t>
  </si>
  <si>
    <t>FY25 Facilities Management Maintenance Other Dec 2024</t>
  </si>
  <si>
    <t>Facilities Maintenance</t>
  </si>
  <si>
    <t xml:space="preserve">FY2025 December Maintenance </t>
  </si>
  <si>
    <t>d-58</t>
  </si>
  <si>
    <t>AP02637668</t>
  </si>
  <si>
    <t>AR02637598</t>
  </si>
  <si>
    <t>AR02637614</t>
  </si>
  <si>
    <t>FY25 Department of Public Social Services issued 27 warrants ranging from $35 to $261,408.62.</t>
  </si>
  <si>
    <t>DPSS Department Issued Warrants</t>
  </si>
  <si>
    <t>FY25 Auditor-Controller's Office - State Revenue from VLF Realignment. ACARC TCR #40091.</t>
  </si>
  <si>
    <t>Vehicle License Fee (VLF) from State</t>
  </si>
  <si>
    <t>FY25 Dec 2024</t>
  </si>
  <si>
    <t>751401/751402/767185/767186</t>
  </si>
  <si>
    <t>FY24 Mental Health State Short-Doyle/Medi-Cal Revenue. MHARC TCR# 12879.</t>
  </si>
  <si>
    <t>e-58</t>
  </si>
  <si>
    <t>AP02638188</t>
  </si>
  <si>
    <t>AR02637993</t>
  </si>
  <si>
    <t>AR02637910</t>
  </si>
  <si>
    <t>INTQ125ACR</t>
  </si>
  <si>
    <t>Q1 2025 INT ACRL</t>
  </si>
  <si>
    <t>FY25 Mental Health issued 47 warrants ranging from $7.43 to $636,000.</t>
  </si>
  <si>
    <t>732140/751600/767181/775550</t>
  </si>
  <si>
    <t>FY25 Mental Health State Revenue received for MCal SGF, FFP and IGT. MHARC TCR# 12882.</t>
  </si>
  <si>
    <t>FY24 Department of Public Health State Revenue for 4th Qtr. HSARC TCR# 134684.</t>
  </si>
  <si>
    <t>Public Health Revenue</t>
  </si>
  <si>
    <t>118301/118401</t>
  </si>
  <si>
    <t xml:space="preserve">State Revenue  </t>
  </si>
  <si>
    <t>Treasurers Interest Appt</t>
  </si>
  <si>
    <t>FY25 1st Qtr Accrual</t>
  </si>
  <si>
    <t>f-58</t>
  </si>
  <si>
    <t>0002636751</t>
  </si>
  <si>
    <t>AP02638617</t>
  </si>
  <si>
    <t>Sheriff Department issued 78 warrants. Amounts of warrants range from $6.08 to $625,364.14.</t>
  </si>
  <si>
    <t>0002636862</t>
  </si>
  <si>
    <t>0002635331</t>
  </si>
  <si>
    <t>0002634528</t>
  </si>
  <si>
    <t>0002635350</t>
  </si>
  <si>
    <t>0002635809</t>
  </si>
  <si>
    <t>0002635362</t>
  </si>
  <si>
    <t>0002634567</t>
  </si>
  <si>
    <t>0002634929</t>
  </si>
  <si>
    <t>0002635371</t>
  </si>
  <si>
    <t>FY 24/25 Admin Fee Charge for 2nd Quarter 10/1/2024-12/31/2024</t>
  </si>
  <si>
    <t>0002636756</t>
  </si>
  <si>
    <t>0002636507</t>
  </si>
  <si>
    <t>g-58</t>
  </si>
  <si>
    <t>AP02638961</t>
  </si>
  <si>
    <t>AR02638780</t>
  </si>
  <si>
    <t>CALSAWS OASIS JE for 12/27/24.</t>
  </si>
  <si>
    <t>0002634558</t>
  </si>
  <si>
    <t>0002638756</t>
  </si>
  <si>
    <t>0002638311</t>
  </si>
  <si>
    <t xml:space="preserve">Mental Health issued 31 warrants ranging from $19.56 to $2,414,787.00. $2.4M payment made to Victor Community Support Services. </t>
  </si>
  <si>
    <t>RCRMC PAYOR MOU  JANUARY 24/25</t>
  </si>
  <si>
    <t>h-58</t>
  </si>
  <si>
    <t>118300/118400/230142</t>
  </si>
  <si>
    <t>118300/118400/230143</t>
  </si>
  <si>
    <t>118300/118400/230144</t>
  </si>
  <si>
    <t>AP02639267</t>
  </si>
  <si>
    <t>AP02639266</t>
  </si>
  <si>
    <t>0002638731</t>
  </si>
  <si>
    <t>FY25 Mental Health issued 12 warrants ranging from $3,586.40 to $372,190.35.</t>
  </si>
  <si>
    <t>FY25 Mental Health issued 58 warrants ranging from $13.59 to $325,557.22.</t>
  </si>
  <si>
    <t>FY25 January 2025</t>
  </si>
  <si>
    <t>i-58</t>
  </si>
  <si>
    <t>AP02639682</t>
  </si>
  <si>
    <t>FY25 Mental Health issued 120 warrants ranging from $5.69 to $171,720.</t>
  </si>
  <si>
    <t>FY25 General Support Services 3rd Quarter</t>
  </si>
  <si>
    <t>j-58</t>
  </si>
  <si>
    <t>AP02640089</t>
  </si>
  <si>
    <t>AP02640088</t>
  </si>
  <si>
    <t>AR02639883</t>
  </si>
  <si>
    <t>0002639462</t>
  </si>
  <si>
    <t>0002635781</t>
  </si>
  <si>
    <t>0002635788</t>
  </si>
  <si>
    <t>0002635782</t>
  </si>
  <si>
    <t>0002635794</t>
  </si>
  <si>
    <t>0002635797</t>
  </si>
  <si>
    <t>0002635790</t>
  </si>
  <si>
    <t>FY24-25 RPTTF Jan Distribution 01022025</t>
  </si>
  <si>
    <t>PSAF - 1/2% Sales Tax Distribution December 2024.</t>
  </si>
  <si>
    <t>New Allocation. Realignment 1 - Transfer December 24 Realignment Revenue for Sales Tax to Soc. Services - GF Operating Accounts.</t>
  </si>
  <si>
    <t>Realignment 2 - Transfer December 2024 Sales Tax, State Hospital Offset and Managed Care Offset from Mental Health sub-fund deferred revenue account to GF operating account.</t>
  </si>
  <si>
    <t>Trial Court Security for December 2024.</t>
  </si>
  <si>
    <t>Realignment 1 - Transfer December 2024 Sales Tax to GF Oper Acc Realignment Revenue for Sales Tax to Health General Fund Operating Account.</t>
  </si>
  <si>
    <t>Realignment - Transfer December 2024 Realignment Revenue for VLF to Health GF Operating Accounts.</t>
  </si>
  <si>
    <t>FY25 Mental Health issued 94 warrants ranging from $9.67 to $497,668.13.</t>
  </si>
  <si>
    <t>FY25 Mental Health issued 97 warrants ranging from $8.69 to $449,175.</t>
  </si>
  <si>
    <t>FY25 Calpers</t>
  </si>
  <si>
    <t>715070/770550/781000</t>
  </si>
  <si>
    <t>PSAF - December 2024</t>
  </si>
  <si>
    <t>Realignment 1 Sales Tax to Social Svcs</t>
  </si>
  <si>
    <t>FY25 Payroll CalPERS via ACARC TCR# 40085.</t>
  </si>
  <si>
    <t>Realignment Expense for VLF</t>
  </si>
  <si>
    <t>k-58</t>
  </si>
  <si>
    <t>0002639873</t>
  </si>
  <si>
    <t>0002639934</t>
  </si>
  <si>
    <t>Board item 2.16 dated 12/3/24 ID #26449. Transfer of Property Tax Unclaimed Refunds to the General Fund</t>
  </si>
  <si>
    <t>Unclaimed Property</t>
  </si>
  <si>
    <t>Unclaimed Property BOS 12/3/24 Agenda Item 2.16</t>
  </si>
  <si>
    <t>FY25 PP01</t>
  </si>
  <si>
    <t>l-58</t>
  </si>
  <si>
    <t>AP02640789</t>
  </si>
  <si>
    <t>AP02640879</t>
  </si>
  <si>
    <t>AP02640727</t>
  </si>
  <si>
    <t>0002639071</t>
  </si>
  <si>
    <t>CALSAWS OASIS JE for 1/2/25</t>
  </si>
  <si>
    <t>Fire Department issued 61 warrants. Amounts of warrants range from $17.50 to $60.9mil. $60.9mil payment to State of California Department of Forestry 1st Quarter FY25. FPARC Voucher# 00417931.</t>
  </si>
  <si>
    <t>Sheriff Department issued 23 warrants. Amounts of warrants range from $12.26 to $6.4mil. $6.4mil payment to Airbus for the purchase of a helicopter. SHARC Voucher# 00584366.</t>
  </si>
  <si>
    <t>FY25 Assessor Clerk Recorder 2nd Qtr SB2 Fee to State Controller's Office. ASARC Voucher# 00063135.</t>
  </si>
  <si>
    <t>Assessor State Payment</t>
  </si>
  <si>
    <t>FY2025 2nd Quarter</t>
  </si>
  <si>
    <t>m-58</t>
  </si>
  <si>
    <t>AP02641480</t>
  </si>
  <si>
    <t>AP02641565</t>
  </si>
  <si>
    <t>AP02641512</t>
  </si>
  <si>
    <t>AR02641359</t>
  </si>
  <si>
    <t>0002640965</t>
  </si>
  <si>
    <t>GL FY24-25 CY SUP Dec</t>
  </si>
  <si>
    <t>FY25 Department of Public Social Services issued 1 warrant in the amount of $5,253,258.71 for UDW AFSCME Local 3930 for IHSS Health Benefits. DPARC Voucher 00210345.</t>
  </si>
  <si>
    <t>FY25 Mental Health issued 15 warrants ranging from $8.35 to $900,560.</t>
  </si>
  <si>
    <t>Fire Department issued 16 warrants. Amounts of warrants range from $58.13 to $1,083,112.52. $1.083mil payment to Ward Apparatus. FPARC Voucher# 00417830.</t>
  </si>
  <si>
    <t xml:space="preserve">Dept of Public Health received 8 warrants ranging from $13,992.04 to $2,512,454.39. Received $2.5M funds from CA Dept. of Public Health. TCR 134682. </t>
  </si>
  <si>
    <t>FY25 CY SUP Dec</t>
  </si>
  <si>
    <t>704000/733000/781242</t>
  </si>
  <si>
    <t>n-58</t>
  </si>
  <si>
    <t>AP02641990</t>
  </si>
  <si>
    <t>FMMAIN1223</t>
  </si>
  <si>
    <t>0002639770</t>
  </si>
  <si>
    <t>0002639415</t>
  </si>
  <si>
    <t>0002641311</t>
  </si>
  <si>
    <t>0002639416</t>
  </si>
  <si>
    <t>0002640185</t>
  </si>
  <si>
    <t>MAINT Other Jan 2025</t>
  </si>
  <si>
    <t>FY25 ISF Property Insurance 3rd Quarter</t>
  </si>
  <si>
    <t>GF Contribution to CIP
BOS 3.7 (ID#26474)_12/03/24</t>
  </si>
  <si>
    <t>CALSAWS OASIS JE for 12/28/2024</t>
  </si>
  <si>
    <t>To reclass CIP pass-thru revenues distributed in the FY24-25 January RPTTF distribution</t>
  </si>
  <si>
    <t>Fire Department issued 34 warrants. Amounts of warrants range from $11.84 to $1,357,570.53. $1.3mil refund payment to the City of Indian Wells. FPARC Voucher# 00418153.</t>
  </si>
  <si>
    <t>FY2025 January Maintenance</t>
  </si>
  <si>
    <t>Property Insurance</t>
  </si>
  <si>
    <t xml:space="preserve">FY25 Property Insurance 3rd Quarter </t>
  </si>
  <si>
    <t>520945/528500</t>
  </si>
  <si>
    <t>General Fund Contribution to CIP Fund</t>
  </si>
  <si>
    <t>RPTTF CIP Pass-Thru Jan 2025</t>
  </si>
  <si>
    <t>o-58</t>
  </si>
  <si>
    <t>AP02642449</t>
  </si>
  <si>
    <t>AP02642399</t>
  </si>
  <si>
    <t>0002642136</t>
  </si>
  <si>
    <t>0002639766</t>
  </si>
  <si>
    <t>0002639768</t>
  </si>
  <si>
    <t>Transfer Teeter 1% Overflow to General Fund</t>
  </si>
  <si>
    <t>FY25 Mental Health issued 170 warrants ranging from $10.97 to $304,990.50.</t>
  </si>
  <si>
    <t>Fire Department issued 17 warrants. Amounts of warrants range from $569.85 to $1,432,797.44. $1.4mil payment to the City of Corona . FPARC Voucher# 00418268.</t>
  </si>
  <si>
    <t>p-58</t>
  </si>
  <si>
    <t>AP02642971</t>
  </si>
  <si>
    <t>AP02642972</t>
  </si>
  <si>
    <t>AR02642730</t>
  </si>
  <si>
    <t>0002642239</t>
  </si>
  <si>
    <t>0002641299</t>
  </si>
  <si>
    <t>GL FY24-25 CY SBE CS1</t>
  </si>
  <si>
    <t>FY25 Mental Health issued 136 warrants ranging from $10.71 to $426,076.00.</t>
  </si>
  <si>
    <t>FY25 Mental Health issued 30 warrants ranging from $9.02 to $361,860.00.</t>
  </si>
  <si>
    <t xml:space="preserve">Sheriff Department - Contractual Revenue from the City of Moreno Valley. </t>
  </si>
  <si>
    <t>q-58</t>
  </si>
  <si>
    <t>AR02643127</t>
  </si>
  <si>
    <t>AR02643134</t>
  </si>
  <si>
    <t>AR02643123</t>
  </si>
  <si>
    <t>ITACCS2507</t>
  </si>
  <si>
    <t>0002639430</t>
  </si>
  <si>
    <t>Property Tax Apportionment - State Board of Equalization</t>
  </si>
  <si>
    <t>FY25 State Board of Equalization Colletion 1 - CY SBE CS1</t>
  </si>
  <si>
    <t>General Fund Contribution to Sheriff's Dept</t>
  </si>
  <si>
    <t>GF Contributions to Sheriff CIP. BOS 3.7 (ID#26474)_12/03/24
Project: EOCIP078_P3PROJECT</t>
  </si>
  <si>
    <t>Fire Department - Fire Protection Revenue from City of Moreno Valley. FPARC TCR# 14745.</t>
  </si>
  <si>
    <t>FY25 Executive Office - TRANS Revenue. EOARC TCR# 13614.</t>
  </si>
  <si>
    <t>TRANS Payment</t>
  </si>
  <si>
    <t>FY2025 Tax Anticipation Note Pay Req 3</t>
  </si>
  <si>
    <t>FY25 ISF Worker's Compensation 3rd Quarter.</t>
  </si>
  <si>
    <t>RCIT Enterprise Services January 2025.</t>
  </si>
  <si>
    <t>FY2025 January RCIT Service</t>
  </si>
  <si>
    <t xml:space="preserve">Worker's Comp </t>
  </si>
  <si>
    <t xml:space="preserve">FY25 Worker's Comp 3rd Quarter </t>
  </si>
  <si>
    <t>FY25 Mental Health State Revenue received for MCal SGF, FFP and IGT and FY24 State Revenue for Short-Doyle/Medi-Cal. MHARC TCR# 12886.</t>
  </si>
  <si>
    <t>r-58</t>
  </si>
  <si>
    <t>AR02643505</t>
  </si>
  <si>
    <t>AR02643502</t>
  </si>
  <si>
    <t>0002642677</t>
  </si>
  <si>
    <t>0002640612</t>
  </si>
  <si>
    <t>0002642589</t>
  </si>
  <si>
    <t>0002640588</t>
  </si>
  <si>
    <t>0002642198</t>
  </si>
  <si>
    <t>Advance to Revenue-January 2025</t>
  </si>
  <si>
    <t>FY25 FLEET MONTHLY BILLING PER 6 DECEMBER</t>
  </si>
  <si>
    <t xml:space="preserve">Sheriff Department - Contractual Revenue from the City of La Quinta, Riverside Sheriff's Association, Thomas Miller Mortuary and Tillman-Riverside Mortuary. </t>
  </si>
  <si>
    <t>112100/118501/118601</t>
  </si>
  <si>
    <t>118300/118400/208142/230141/530440</t>
  </si>
  <si>
    <t>118300/118400/208142/230141</t>
  </si>
  <si>
    <t>750320/761020/761040</t>
  </si>
  <si>
    <t>527690/528920</t>
  </si>
  <si>
    <t>FY25 Fleet Services December 2024</t>
  </si>
  <si>
    <t>s-58</t>
  </si>
  <si>
    <t>AR02644010</t>
  </si>
  <si>
    <t>AR02643976</t>
  </si>
  <si>
    <t>AR02643975</t>
  </si>
  <si>
    <t>FMREAL0762</t>
  </si>
  <si>
    <t>0002638773</t>
  </si>
  <si>
    <t>0225 Payable Lease</t>
  </si>
  <si>
    <t>FY2425 Arlington unfunded cost and MC
BH DX transfer to Medical Center - January
2025</t>
  </si>
  <si>
    <t>Fire Department - Fire Protection Revenue from City of Lake Elsinore. FPARC TCR# 14752.</t>
  </si>
  <si>
    <t>112100/118401/118501</t>
  </si>
  <si>
    <t>Sheriff Department - Contractual Revenue from the City of Perris and the Department of State Hospitals.</t>
  </si>
  <si>
    <t>Sheriff Department - Contractual Revenue from the City of Temecula and De Luz (Santa Rosa) C.S.D.</t>
  </si>
  <si>
    <t>FY2025 February Lease</t>
  </si>
  <si>
    <t>FY25 Mental Health Transfer to Medical Center -January</t>
  </si>
  <si>
    <t>t-58</t>
  </si>
  <si>
    <t>AP02644570</t>
  </si>
  <si>
    <t>AR02644459</t>
  </si>
  <si>
    <t>0002641301</t>
  </si>
  <si>
    <t>0002639428</t>
  </si>
  <si>
    <t>0002643839</t>
  </si>
  <si>
    <t>0002639419</t>
  </si>
  <si>
    <t>AB109 Community Correction Recognize Revenues FY2425 - Qtr1 Exp ¿ Based on Approved CCPEC Budget Alloc 10.01.24</t>
  </si>
  <si>
    <t>FY25 ISF General and Auto Liability Insurance 3rd Quarter</t>
  </si>
  <si>
    <t>Department of Public Social Services issued 28 warrants. Amounts of warrants range from $14.71 to $238,931.50.</t>
  </si>
  <si>
    <t>FY24 Auditor-Controller's Office - State Revenue from VLF Realignment.</t>
  </si>
  <si>
    <t xml:space="preserve">AB109 Probation </t>
  </si>
  <si>
    <t>FY25 1st Quarter</t>
  </si>
  <si>
    <t>777030/778230</t>
  </si>
  <si>
    <t>HR GSS RATE</t>
  </si>
  <si>
    <t xml:space="preserve">FY25 HR General Support Services Rate 3rd Quarter </t>
  </si>
  <si>
    <t>FY25 PP02</t>
  </si>
  <si>
    <t>510200/515160</t>
  </si>
  <si>
    <t>General/Auto Liability Insurance</t>
  </si>
  <si>
    <t xml:space="preserve">FY25 General/Auto Liability Insurance 3rd Quarter </t>
  </si>
  <si>
    <t>u-58</t>
  </si>
  <si>
    <t>AR02644865</t>
  </si>
  <si>
    <t>FY25 November 2024</t>
  </si>
  <si>
    <t>Auditor-Controller's Office - State Board of Equalization - Local Sales Tax Revenue. ACARC TCR# 40211.</t>
  </si>
  <si>
    <t>v-58</t>
  </si>
  <si>
    <t>AR02645261</t>
  </si>
  <si>
    <t>FY 2024 Fire Contractual Revenue</t>
  </si>
  <si>
    <t>777120/779040/779200</t>
  </si>
  <si>
    <t>Fire Department - Fire Protection Revenue from the City of Coachella and Mt. San Jacinto College.</t>
  </si>
  <si>
    <t>w-58</t>
  </si>
  <si>
    <t>AR02645691</t>
  </si>
  <si>
    <t>AR02645679</t>
  </si>
  <si>
    <t>AR02645677</t>
  </si>
  <si>
    <t>0002643909</t>
  </si>
  <si>
    <t>0002645195</t>
  </si>
  <si>
    <t>0002643916</t>
  </si>
  <si>
    <t>INTQ225CSH</t>
  </si>
  <si>
    <t>0002643914</t>
  </si>
  <si>
    <t>Q2 2025 INT CASH</t>
  </si>
  <si>
    <t>FY25 Auditor-Controller's Office - State Revenue from VLF Realignment. ACARC TCR #40216.</t>
  </si>
  <si>
    <t>FY25 Jan 2025</t>
  </si>
  <si>
    <t>Sheriff Department - Contractual Revenue from the Moreno Vally School District and Moreno Valley HS.</t>
  </si>
  <si>
    <t>Sheriff Department - Contractual Revenue from the City of Eastvale and Jurupa Community Services District.</t>
  </si>
  <si>
    <t>118400/230141</t>
  </si>
  <si>
    <t>FY25 2nd Qtr Cash</t>
  </si>
  <si>
    <t>x-58</t>
  </si>
  <si>
    <t>AP02646340</t>
  </si>
  <si>
    <t>AR02646153</t>
  </si>
  <si>
    <t>FY25 Mental Health issued 42 warrants ranging from $86.99 to $364,186.25.</t>
  </si>
  <si>
    <t>Fire Department - Fire Protection Revenue from the City of Banning and Desert Hot Springs.</t>
  </si>
  <si>
    <t>y-58</t>
  </si>
  <si>
    <t>AP02646760</t>
  </si>
  <si>
    <t>AR02646590</t>
  </si>
  <si>
    <t>0002645670</t>
  </si>
  <si>
    <t>0002641779</t>
  </si>
  <si>
    <t>0002643833</t>
  </si>
  <si>
    <t>0002643565</t>
  </si>
  <si>
    <t>0002643826</t>
  </si>
  <si>
    <t>AP02646609</t>
  </si>
  <si>
    <t>GL FY24-25 CY SEC SS1</t>
  </si>
  <si>
    <t>FY 24/25 January 2025 Tax Fund Transfer
Processed by Maria Moreno 951.940.6359</t>
  </si>
  <si>
    <t>FY25 Mental Health issued 38 warrants ranging from $15.21 to $378,717.39.</t>
  </si>
  <si>
    <t>Expense</t>
  </si>
  <si>
    <t>Mental Health Revenue - Federal Medi-Cal-FFP, CA-Other Aid to Health, Probate Fees, Mental Health Services, Other Forfeitures, and Penalties via TCR MHARC 12907.</t>
  </si>
  <si>
    <t xml:space="preserve">Executive Office - Principal Trans Payment via EOARC #13617. </t>
  </si>
  <si>
    <t>TRANS Borrowing</t>
  </si>
  <si>
    <t>FY24-25 Tax Revenue Anticipation Note</t>
  </si>
  <si>
    <t>FY24-25 Secured Settlement 1 - CY SEC SS1</t>
  </si>
  <si>
    <t>Fire Tax Fund Transfer to GF</t>
  </si>
  <si>
    <t>FY 2025 Tax Fund Transfer</t>
  </si>
  <si>
    <t>z-58</t>
  </si>
  <si>
    <t>AR02646952</t>
  </si>
  <si>
    <t>AR02646944</t>
  </si>
  <si>
    <t>AR02646976</t>
  </si>
  <si>
    <t>AR02646964</t>
  </si>
  <si>
    <t>00R2620979</t>
  </si>
  <si>
    <t>0002639819</t>
  </si>
  <si>
    <t>Realignment 2011 funding YTD December 2024</t>
  </si>
  <si>
    <t xml:space="preserve">Executive-Revenue </t>
  </si>
  <si>
    <t>State Aid to Local Government</t>
  </si>
  <si>
    <t>EHARC</t>
  </si>
  <si>
    <t>Environmental Health - Revenue</t>
  </si>
  <si>
    <t>State Revenue for Substance Use Block Grant Q1</t>
  </si>
  <si>
    <t>FY25 Mental Health - Q1 State Revenue for Substance Use Block Grant. MHARC TCR# 12903.</t>
  </si>
  <si>
    <t>FY25 Executive Office - State Reven for Aid to Local Government. EOARC TCR# 13618.</t>
  </si>
  <si>
    <t>Environmental Health - Revenue amounts ranging from $28 to $780,988.36.</t>
  </si>
  <si>
    <t>779120/779125</t>
  </si>
  <si>
    <t xml:space="preserve">Fire Department- Fire Protection Revenue from the Cities of Perris and Menifee. </t>
  </si>
  <si>
    <t>MHSA Revenue</t>
  </si>
  <si>
    <t>Reverse AC/CR Adjustment MHSA revenue based on Cost Report. FY11/12 through FY19/20</t>
  </si>
  <si>
    <t>Realignment Revenue</t>
  </si>
  <si>
    <t>a-59</t>
  </si>
  <si>
    <t>AP02647612</t>
  </si>
  <si>
    <t>AP02647611</t>
  </si>
  <si>
    <t>AP02647656</t>
  </si>
  <si>
    <t>0002642125</t>
  </si>
  <si>
    <t>0002643070</t>
  </si>
  <si>
    <t>0002645211</t>
  </si>
  <si>
    <t>0002644807</t>
  </si>
  <si>
    <t>00C2620979</t>
  </si>
  <si>
    <t>Reclass Gen Fund Expenses to AB109 Fund 11167
FY24/25 Oct - Dec 2024</t>
  </si>
  <si>
    <t>CalFresh Replacements Q1 FY2425 Correction</t>
  </si>
  <si>
    <t>V#61706 Crayon Software, INV3147856, VARIOUS DEPTS - EA MS AGREEMENT YR 1</t>
  </si>
  <si>
    <t>Mental Health issued 60 warrants. Amounts of warrants range from $448.90 to $490,903.</t>
  </si>
  <si>
    <t>Mental Health issued 145 warrants. Amounts of warrants range from $8.69 to $389,632.15.</t>
  </si>
  <si>
    <t>Sheriff Department issued 26 warrants. Amounts of warrants range from $10.28 to $2,278,036.72. $2.2mil payment for Crayon Software. SHARC Voucher# 583844.</t>
  </si>
  <si>
    <t>AB109 Probation</t>
  </si>
  <si>
    <t>521640/523840</t>
  </si>
  <si>
    <t>FY25 Crayon Software Agreement</t>
  </si>
  <si>
    <t>Crayon Software Experts Agreement</t>
  </si>
  <si>
    <t>MHSA Adjustment revenue based on RER reports
FY11/12 through FY22/23</t>
  </si>
  <si>
    <t>Mental Health MHSA</t>
  </si>
  <si>
    <t>MHSA Expense</t>
  </si>
  <si>
    <t>b-59</t>
  </si>
  <si>
    <t>AR02647912</t>
  </si>
  <si>
    <t>0002645202</t>
  </si>
  <si>
    <t>0002644373</t>
  </si>
  <si>
    <t>MHSA Funding YTD December 2024</t>
  </si>
  <si>
    <t>AB109 Community Correction Recognize Revenues FY2425 - Qtr2 Direct Cost Exp ¿ (Apprvd CCPEC Budget Alloc 10.01.24)</t>
  </si>
  <si>
    <t>Sheriff Department - Contractual Revenue from the City of Perris.</t>
  </si>
  <si>
    <t xml:space="preserve">AB109 Sheriff </t>
  </si>
  <si>
    <t>c-59</t>
  </si>
  <si>
    <t>AP02648378</t>
  </si>
  <si>
    <t>AP02648074</t>
  </si>
  <si>
    <t>AP02648455</t>
  </si>
  <si>
    <t>AP02648454</t>
  </si>
  <si>
    <t>0002647217</t>
  </si>
  <si>
    <t>0002648204</t>
  </si>
  <si>
    <t>GL Export 01/27/2025 Business Date.</t>
  </si>
  <si>
    <t>FY25 Department of Public Social Services issued 4 warrants ranging in amounts of $12,931 to $5,675,307.58. $5.6mil payment for UDW AFSCME Local 3930 for IHSS Health Benefits. DPARC Voucher 00210762.</t>
  </si>
  <si>
    <t>FY25 Department of Public Health issued 7 warrants ranging from $197.86 to $2,236,526.50. $2.2mil payment to Inland Southern California 211+. HSARC Voucher# 00247738.</t>
  </si>
  <si>
    <t>Mental Health issued 54 warrants. Amounts of warrants range from $12.92 to $519,132.75.</t>
  </si>
  <si>
    <t>Mental Health issued 72 warrants. Amounts of warrants range from $12.27 to $195,438.79.</t>
  </si>
  <si>
    <t>YTEC-YOBG and YTEC-SB823 FY2425 - Qtr2 Exp  Recognize Revenues Direct and Shared Costs  (YTEC-YOBG and YTEC- PTS).  SB823-PTS FY2425 - Qtr1-Qtr2 Exp  Recognize Revenues Direct and Split cost in IS (Q1-Q2/2024)</t>
  </si>
  <si>
    <t>YOBG Revenue</t>
  </si>
  <si>
    <t>FY25 YTEC-YOBG Q2</t>
  </si>
  <si>
    <t>752403/755931</t>
  </si>
  <si>
    <t>Treasurer's Office - GL Export</t>
  </si>
  <si>
    <t>Jan 2025 Export</t>
  </si>
  <si>
    <t>d-59</t>
  </si>
  <si>
    <t>AR02648686</t>
  </si>
  <si>
    <t>AR02648655</t>
  </si>
  <si>
    <t>0002648262</t>
  </si>
  <si>
    <t>0002643364</t>
  </si>
  <si>
    <t>0002643369</t>
  </si>
  <si>
    <t>0002643365</t>
  </si>
  <si>
    <t>0002643372</t>
  </si>
  <si>
    <t>0002643373</t>
  </si>
  <si>
    <t>0002647698</t>
  </si>
  <si>
    <t>0002647844</t>
  </si>
  <si>
    <t>0002647847</t>
  </si>
  <si>
    <t>FY24/25 ERAF VLF 1st Payment in January 2025 GASB84 and FY25 Enhanced Infrastructure Financing District (EIFD) VLF Revenue January 2025 1st Payment</t>
  </si>
  <si>
    <t>PSAF - 1/2% Sales Tax Distribution January 2025.</t>
  </si>
  <si>
    <t>New Allocation. Realignment 1 - Transfer January 2025 Realignment Revenue for Sales Tax to Soc. Services - GF Operating Accounts.</t>
  </si>
  <si>
    <t>Realignment 2 - Transfer Jannuary 2025 Sales Tax, State Hospital Offset and Managed Care Offset from Mental Health sub-fund deferred revenue account to GF operating account.</t>
  </si>
  <si>
    <t>Trial Court Security for January 2025.</t>
  </si>
  <si>
    <t>Realignment 1 - Transfer January 2025 Sales Tax to GF Oper Acc Realignment Revenue for Sales Tax to Health General Fund Operating Account.</t>
  </si>
  <si>
    <t>CalSAWS - Oasis JE for 1/29/2025 Payroll</t>
  </si>
  <si>
    <t>CalSAWS - Oasis JE for 1/30/2025 Payroll</t>
  </si>
  <si>
    <t xml:space="preserve">Public Defender Care Court Funding </t>
  </si>
  <si>
    <t>FY2024-2025</t>
  </si>
  <si>
    <t>230100/771430</t>
  </si>
  <si>
    <t>Public Defender - Revenue from State Bar of California for CARE Court Funding. PDARC TCR # 399.</t>
  </si>
  <si>
    <t>FY25 Department of Public Health received 7 checks from the State. The check amounts range from $203,076.25 to $1,528,652.25. $1.5mil check from Emergency Preparedness Office. HSARC TCR# 134722.</t>
  </si>
  <si>
    <t>State Revenue</t>
  </si>
  <si>
    <t>VLF/ERAF</t>
  </si>
  <si>
    <t>PSAF - January 2025</t>
  </si>
  <si>
    <t>FY25 1st Pymt</t>
  </si>
  <si>
    <t>Realignment 1 - December 2024</t>
  </si>
  <si>
    <t>Realignment 1 - January 2025</t>
  </si>
  <si>
    <t>Realignment 2 - January 2025</t>
  </si>
  <si>
    <t>December 2024</t>
  </si>
  <si>
    <t>January 2025</t>
  </si>
  <si>
    <t>Realignment 2 - December 2024</t>
  </si>
  <si>
    <t>VLF December 2024</t>
  </si>
  <si>
    <t>e-59</t>
  </si>
  <si>
    <t>AR02649284</t>
  </si>
  <si>
    <t>AR02649255</t>
  </si>
  <si>
    <t>0002649163</t>
  </si>
  <si>
    <t>To correct TCR ACARC 39684. Deposit for Public Health VLF incorrectly posted to accounting string 118403-40050-4300100000. Should have posted to accounting string 750250-10000-1101400000.</t>
  </si>
  <si>
    <t xml:space="preserve">Fire Department- Fire Protection Revenue from the Cities of Rancho Mirage and San Jacinto. </t>
  </si>
  <si>
    <t>Sheriff Department - Contractual Revenue from the City of Moreno Valley.</t>
  </si>
  <si>
    <t>FY25 Sep 2024</t>
  </si>
  <si>
    <t>f-59</t>
  </si>
  <si>
    <t>AP02649401</t>
  </si>
  <si>
    <t>AP02649512</t>
  </si>
  <si>
    <t>AP02649514</t>
  </si>
  <si>
    <t>AP02650001</t>
  </si>
  <si>
    <t>AP02649503</t>
  </si>
  <si>
    <t>AR02649740</t>
  </si>
  <si>
    <t>0002649148</t>
  </si>
  <si>
    <t>FMMAIN1224</t>
  </si>
  <si>
    <t>0002647358</t>
  </si>
  <si>
    <t>0002647351</t>
  </si>
  <si>
    <t>0002647353</t>
  </si>
  <si>
    <t>Advance to Revenue-February 2025</t>
  </si>
  <si>
    <t>MAINT Other Feb 2025</t>
  </si>
  <si>
    <t xml:space="preserve">DPSS IHSS-MOE Services Billing </t>
  </si>
  <si>
    <t>Jul-24 to Feb-25</t>
  </si>
  <si>
    <t>Department of Public Social Services issued 10 warrants amounts ranging between $40.40 to $71,636,864. $71.6mil payment for FY 2024-25 Preliminary IHSS MOE from Jul 2024-Feb 2025 via DPARC Voucher# 00210818. $3.9mil payment for FY2023-24 Final IHSS MOE via DPARC Voucher# 00210817.</t>
  </si>
  <si>
    <t>Mental Health issued 73 warrants. Amounts of warrants range from $21.99 to $1,567,230.14. $1.5mil payment to MFI Recover Center via MHARC Voucher# 00330596.</t>
  </si>
  <si>
    <t>Mental Health issued 39 warrants. Amounts of warrants range from $1.27 to $1,048,128. $1.048mil payment to Pacific Grove Hospital via MHARC Voucher# 00330398.</t>
  </si>
  <si>
    <t>Mental Health issued 19 warrants. Amounts of warrants range from $439.56 to $895,080.</t>
  </si>
  <si>
    <t>Medical Center Expense</t>
  </si>
  <si>
    <t>Medical Center issued 1 warrant in the amount of $1,377,000 via MCARC Voucher# 00584582.</t>
  </si>
  <si>
    <t>774510/777040/781360/781370</t>
  </si>
  <si>
    <t>Emergency Management Dept-Revenue</t>
  </si>
  <si>
    <t xml:space="preserve">Emergency Management Dept. Revenue for services via EMARC TCR# 6972. </t>
  </si>
  <si>
    <t>FY2025 February Maintenance</t>
  </si>
  <si>
    <t>FY25 PP03</t>
  </si>
  <si>
    <t>g-59</t>
  </si>
  <si>
    <t>AR02650269</t>
  </si>
  <si>
    <t xml:space="preserve">Sheriff Department - Contractual Revenue from the City of Coachella and City of Canyon Lake. </t>
  </si>
  <si>
    <t>h-59</t>
  </si>
  <si>
    <t>AR02650636</t>
  </si>
  <si>
    <t>AR02650641</t>
  </si>
  <si>
    <t xml:space="preserve">Fire Department- Fire Protection Revenue from the Cities of East Vale, Indio and Beaumont and the State of California. </t>
  </si>
  <si>
    <t>FY25 Mental Health State Revenue received for MCal SGF, FFP and IGT via MHARC TCR# 12911.</t>
  </si>
  <si>
    <t>i-59</t>
  </si>
  <si>
    <t>AP02651282</t>
  </si>
  <si>
    <t>AR02651098</t>
  </si>
  <si>
    <t>0002647267</t>
  </si>
  <si>
    <t>0002647255</t>
  </si>
  <si>
    <t>0002647253</t>
  </si>
  <si>
    <t>0002647873</t>
  </si>
  <si>
    <t>0002649687</t>
  </si>
  <si>
    <t>0002650549</t>
  </si>
  <si>
    <t>0002647257</t>
  </si>
  <si>
    <t>FMPBH25071</t>
  </si>
  <si>
    <t>0002649701</t>
  </si>
  <si>
    <t>FY24/25 Landfill Lease Payment per Agenda Item 12-2c 11/26/13</t>
  </si>
  <si>
    <t>RCRMC PAYOR MOU  FEBRUARY 24/25</t>
  </si>
  <si>
    <t>FY25 FLEET MONTHLY BILLING PER 7 JANUARY</t>
  </si>
  <si>
    <t>FY24/25-Jan Proj Billings</t>
  </si>
  <si>
    <t>FY2425 Arlington unfunded cost and MC
BH DX transfer to Medical Center - February 
2025</t>
  </si>
  <si>
    <t>Mental Health issued 117 warrants. Amounts of warrants range from $16.16 to $1,164,384.65. $1.164mil payment to Olive Crest via MHARC Voucher# 00331462.</t>
  </si>
  <si>
    <t>779040/779140</t>
  </si>
  <si>
    <t xml:space="preserve">Fire Department- Fire Protection Revenue from the City of Temecula. </t>
  </si>
  <si>
    <t>755917/755919</t>
  </si>
  <si>
    <t>Waste Landfill Lease Payment</t>
  </si>
  <si>
    <t>FY24/25 Lease Payment</t>
  </si>
  <si>
    <t>FY25 February 2025</t>
  </si>
  <si>
    <t>FY25 Fleet Services January 2025</t>
  </si>
  <si>
    <t>522310/537040/537280/537320</t>
  </si>
  <si>
    <t>FY2025 January Project Billings</t>
  </si>
  <si>
    <t>FY25 Mental Health Transfer to Medical Center - February</t>
  </si>
  <si>
    <t>j-59</t>
  </si>
  <si>
    <t>AP02651703</t>
  </si>
  <si>
    <t>AR02651510</t>
  </si>
  <si>
    <t>0002648219</t>
  </si>
  <si>
    <t>Reverses initial redistribution JE 0002645195 posted on 1/27/2025. Pending documents have now been received/processed providing detailed advance/settlement information and this transaction redistributes accordingly.</t>
  </si>
  <si>
    <t>Mental Health issued 47 warrants. Amounts of warrants range from $13.88 to $1,419,852.48. $1.4mil payment to Olive Crest via MHARC Voucher# 00331172.</t>
  </si>
  <si>
    <t>118401/118501/118601</t>
  </si>
  <si>
    <t>Sheriff Department - Contractual Revenue from the Cities of Lake Elsinore and Perris, Department of Alcoholic Beverage Control, Off HWY Motor Vehicle Recreation and Riverside Sheriff's Association .</t>
  </si>
  <si>
    <t>k-59</t>
  </si>
  <si>
    <t>AP02652133</t>
  </si>
  <si>
    <t>AR02651938</t>
  </si>
  <si>
    <t>ITACCS2508</t>
  </si>
  <si>
    <t>RCIT Enterprise Services February 2025
M.O. 3.12, 1-09-2024</t>
  </si>
  <si>
    <t>Mental Health issued 75 warrants. Amounts of warrants range from $34.16 to $306,926.15.</t>
  </si>
  <si>
    <t xml:space="preserve">Fire Department- Fire Protection Revenue from the City of Norco and CalFire. </t>
  </si>
  <si>
    <t>FY2025 February RCIT Service</t>
  </si>
  <si>
    <t>l-59</t>
  </si>
  <si>
    <t>AP02652402</t>
  </si>
  <si>
    <t>FMREAL0770</t>
  </si>
  <si>
    <t>0325 Payable Lease</t>
  </si>
  <si>
    <t>Dentention Health Services issued 5 warrants. Amounts of warrants range from $8.20 to $885,000. $885k and $360k payments to NaphCare via DHARC Vouchers 00012840 and 00012839.</t>
  </si>
  <si>
    <t>FY2025 March Lease</t>
  </si>
  <si>
    <t>March/May</t>
  </si>
  <si>
    <t>RUHS Detention Health Services - Correctional Health Care Services Issued Warrants</t>
  </si>
  <si>
    <t>m-59</t>
  </si>
  <si>
    <t>0002652775</t>
  </si>
  <si>
    <t>0002650598</t>
  </si>
  <si>
    <t>0002651372</t>
  </si>
  <si>
    <t>0002651225</t>
  </si>
  <si>
    <t>GL FY 24-25 PY SUP Dec</t>
  </si>
  <si>
    <t>FY25 2nd Qtr OOC General Fund
Revenue Distribution Oct - Dec 2024</t>
  </si>
  <si>
    <t>FY25 PY SUP Dec</t>
  </si>
  <si>
    <t>705000/733020/781242</t>
  </si>
  <si>
    <t>FY25 2nd Qtr</t>
  </si>
  <si>
    <t>FY25 PP04</t>
  </si>
  <si>
    <t>FY25 PP05</t>
  </si>
  <si>
    <t>n-59</t>
  </si>
  <si>
    <t>AP02653987</t>
  </si>
  <si>
    <t>AP02653942</t>
  </si>
  <si>
    <t>AR02653726</t>
  </si>
  <si>
    <t>AR02653725</t>
  </si>
  <si>
    <t>0002651369</t>
  </si>
  <si>
    <t>Sheriff Department issued 116 warrants. Amounts of warrants range from $6.87 to $1,800,000. $1.8mil payment to Pilatus. SHARC Voucher# 00588325.</t>
  </si>
  <si>
    <t>Mental Health issued 18 warrants. Amounts of warrants range from $30.44 to $510,455.44.</t>
  </si>
  <si>
    <t>FY25 Auditor-Controller's Office - State Revenue from VLF Realignment. ACARC TCR #40354.</t>
  </si>
  <si>
    <t>FY25 Feb 2025</t>
  </si>
  <si>
    <t>FY2024 4th Qtr</t>
  </si>
  <si>
    <t>Auditor-Controller's Office - State Board of Equalization - Local Sales Tax Revenue. ACARC TCR# 40347.</t>
  </si>
  <si>
    <t>o-59</t>
  </si>
  <si>
    <t>AR02654164</t>
  </si>
  <si>
    <t>0002648213</t>
  </si>
  <si>
    <t>0002651895</t>
  </si>
  <si>
    <t>0002651858</t>
  </si>
  <si>
    <t>0002651892</t>
  </si>
  <si>
    <t>0002651887</t>
  </si>
  <si>
    <t>0002651822</t>
  </si>
  <si>
    <t>0002651880</t>
  </si>
  <si>
    <t>0002651842</t>
  </si>
  <si>
    <t>Realignment - Transfer January 2025 Realignment Revenue for VLF to Health GF Operating Accounts.</t>
  </si>
  <si>
    <t>Sheriff</t>
  </si>
  <si>
    <t>Contractual Revenue</t>
  </si>
  <si>
    <t>Sheriff Department - Contractual Revenue from City of Jurupa, Norco Unified School District, City of Norco, and City of Eastvale.</t>
  </si>
  <si>
    <t xml:space="preserve">118401, 118501, 118601 </t>
  </si>
  <si>
    <t>p-59</t>
  </si>
  <si>
    <t>AR02654569</t>
  </si>
  <si>
    <t>AR02654532</t>
  </si>
  <si>
    <t>0002648256</t>
  </si>
  <si>
    <t>AB109 funding treatment remain FY2425 1st Quarter</t>
  </si>
  <si>
    <t>State Revenue for Mental Health Block Grant Q2</t>
  </si>
  <si>
    <t>732140/767200/775520</t>
  </si>
  <si>
    <t>FY25 Mental Health Community Health Block Grant (MHBG) Q2 Claim revenue. MHARC TCR# 12930.</t>
  </si>
  <si>
    <t xml:space="preserve">Emergency Management Dept. State Revenue. EMARC TCR# 7014. </t>
  </si>
  <si>
    <t>AB109 Mental Health</t>
  </si>
  <si>
    <t>q-59</t>
  </si>
  <si>
    <t>AP02654958</t>
  </si>
  <si>
    <t>AR02654780</t>
  </si>
  <si>
    <t>0002651805</t>
  </si>
  <si>
    <t>0002651810</t>
  </si>
  <si>
    <t>0002651806</t>
  </si>
  <si>
    <t>0002651812</t>
  </si>
  <si>
    <t>0002651813</t>
  </si>
  <si>
    <t>0002653641</t>
  </si>
  <si>
    <t>PSAF - 1/2% Sales Tax Distribution February 2025.</t>
  </si>
  <si>
    <t>New Allocation. Realignment 1 - Transfer February 2025 Realignment Revenue for Sales Tax to Soc. Services - GF Operating Accounts.</t>
  </si>
  <si>
    <t>Realignment 2 - Transfer February 2025 Sales Tax, State Hospital Offset and Managed Care Offset from Mental Health sub-fund deferred revenue account to GF operating account.</t>
  </si>
  <si>
    <t>Trial Court Security for February 2025.</t>
  </si>
  <si>
    <t>Realignment 1 - Transfer February 2025 Sales Tax to GF Oper Acc Realignment Revenue for Sales Tax to Health General Fund Operating Account.</t>
  </si>
  <si>
    <t>Realignment - Transfer February 2025 Realignment Revenue for VLF to Health GF Operating Accounts.</t>
  </si>
  <si>
    <t>Mental Health issued 43 warrants. Amounts of warrants range from $3.45 to $908,065.</t>
  </si>
  <si>
    <t>Sheriff Department - Contractual Revenue from Cities of Lake Elsinore and Palm Desert, Homeland Security Investigations and Department of Defense.</t>
  </si>
  <si>
    <t>PSAF - February 2025</t>
  </si>
  <si>
    <t>Realignment 1 - February 2025</t>
  </si>
  <si>
    <t>Realignment 2 - February 2025</t>
  </si>
  <si>
    <t>VLF January 2025</t>
  </si>
  <si>
    <t>VLF February 2025</t>
  </si>
  <si>
    <t>r-59</t>
  </si>
  <si>
    <t>AP02655319</t>
  </si>
  <si>
    <t>0002654121</t>
  </si>
  <si>
    <t>0002654711</t>
  </si>
  <si>
    <t>CalSAWS - Oasis JE for 02/26/2025 Payroll</t>
  </si>
  <si>
    <t>CalSAWS - Oasis JE for 02/27/2025 Payroll</t>
  </si>
  <si>
    <t>Mental Health issued 23 warrants. Amounts of warrants range from $25.99 to $1,051,944. $1.05mil payment to Pacific Grove Hospital via MHARC Voucher# 00331958.</t>
  </si>
  <si>
    <t>s-59</t>
  </si>
  <si>
    <t>AP02655552</t>
  </si>
  <si>
    <t>AP02655632</t>
  </si>
  <si>
    <t>AR02655470</t>
  </si>
  <si>
    <t>0002652714</t>
  </si>
  <si>
    <t>0002652713</t>
  </si>
  <si>
    <t>0002651885</t>
  </si>
  <si>
    <t>JPCF &amp; JPAct FY2425 Recognize Revenues for Oct 2024 thru Jan 2025 Allocation</t>
  </si>
  <si>
    <t>SB678 CCPIA FY2425 - Qtr 2 Exp Recognize Revenues Direct cost (Q2) and Indirect cost (Q1-2).</t>
  </si>
  <si>
    <t>IN2411a Physician Feb Reclass to Behavioral Health</t>
  </si>
  <si>
    <t>FY25 Mental Health issued 20 warrants ranging from $7.59 to $334,584.</t>
  </si>
  <si>
    <t>Sheriff Department - Contractual Revenue from City of San Jacinto, Norco Family Funeral Home, State of California Dept. of Corrections, San Jacinto USD, San Jacinto Valley Academy and Fitzhenry Funeral Home.</t>
  </si>
  <si>
    <t>112100/118401/118501/118601</t>
  </si>
  <si>
    <t>Probration Revenue - JPA</t>
  </si>
  <si>
    <t>FY25 Oct-Jan</t>
  </si>
  <si>
    <t>755929/755930</t>
  </si>
  <si>
    <t>Probation Revenue - CCPIA</t>
  </si>
  <si>
    <t>FY25 Q2</t>
  </si>
  <si>
    <t>Mental Health LLUSM Invoice to Hospital</t>
  </si>
  <si>
    <t>t-59</t>
  </si>
  <si>
    <t>AP02655875</t>
  </si>
  <si>
    <t>0002655020</t>
  </si>
  <si>
    <t>0002655034</t>
  </si>
  <si>
    <t>0002654919</t>
  </si>
  <si>
    <t>0002652566</t>
  </si>
  <si>
    <t>DHS Billing Summary Charges for FY2025
Correctional Health Care Services is Budgeted to pay
RUHS Medical Center $21,100,000.00 per fiscal year 
for services provided.</t>
  </si>
  <si>
    <t>FY25 Department of Public Social Services issued 4 warrants ranging in amounts of $1,978.29 to $5,107,662.25. $5.1mil payment for UDW AFSCME Local 3930 for IHSS Health Benefits. DPARC Voucher# 00211013.</t>
  </si>
  <si>
    <t>RUHS Detention Health Services - Correctional Health Care Services Expense</t>
  </si>
  <si>
    <t>FY25 Payment to RUHS Medical Center</t>
  </si>
  <si>
    <t>u-59</t>
  </si>
  <si>
    <t>AR02656063</t>
  </si>
  <si>
    <t>v-59</t>
  </si>
  <si>
    <t>AP02656556</t>
  </si>
  <si>
    <t>FMMAIN1225</t>
  </si>
  <si>
    <t>MAINT Other Mar 2025</t>
  </si>
  <si>
    <t>FY25 Mental Health issued 59 warrants ranging from $148.53 to $428,579.</t>
  </si>
  <si>
    <t>FY2025 March Maintenance</t>
  </si>
  <si>
    <t>w-59</t>
  </si>
  <si>
    <t>AR02656781</t>
  </si>
  <si>
    <t>x-59</t>
  </si>
  <si>
    <t>AR02657205</t>
  </si>
  <si>
    <t>AR02657201</t>
  </si>
  <si>
    <t>0002656772</t>
  </si>
  <si>
    <t>0002655018</t>
  </si>
  <si>
    <t>GL FY 24-25 CY SUP Feb</t>
  </si>
  <si>
    <t>Department of Public Health State Revenue. HSARC TCR# 134752.</t>
  </si>
  <si>
    <t>Department of Public Health State Revenue. HSARC TCR# 134705.</t>
  </si>
  <si>
    <t>Property Tax Apportionment - Supplemental Taxes AB2345</t>
  </si>
  <si>
    <t>FY 24-25 Supplemental Taxes Current - CY SUP</t>
  </si>
  <si>
    <t>704000/733000/772830/781242</t>
  </si>
  <si>
    <t>y-59</t>
  </si>
  <si>
    <t>AR02657684</t>
  </si>
  <si>
    <t>0002657578</t>
  </si>
  <si>
    <t>z-59</t>
  </si>
  <si>
    <t>AR02658089</t>
  </si>
  <si>
    <t>AR02658060</t>
  </si>
  <si>
    <t>0002657582</t>
  </si>
  <si>
    <t>FY25 FLEET MONTHLY BILLING PER 8 FEBRUARY</t>
  </si>
  <si>
    <t>FY25 Mental Health Revenue - Mcal FFP, SGF, IGT &amp; MCHIP. MHARC TCR #12935.</t>
  </si>
  <si>
    <t>FY25 Department of Public Health State Revenue for 2nd Qtr. HSARC TCR# 134754.</t>
  </si>
  <si>
    <t>FY25 Fleet Services February 2025</t>
  </si>
  <si>
    <t>a-60</t>
  </si>
  <si>
    <t>AP02658512</t>
  </si>
  <si>
    <t>AR02658410</t>
  </si>
  <si>
    <t>Department of Executive Office issued 10 warrants amounts ranging between $127.80 to $6.2M. $6.2M payment for FY 24-25 Executive Office Courts MOE 3rd Quarter State Payment, Voucher EOARC 00051553.</t>
  </si>
  <si>
    <t xml:space="preserve">MOE State Expense </t>
  </si>
  <si>
    <t>FY24 Mental Health State Short-Doyle/Medi-Cal Revenue. MHARC TCR# 12942.</t>
  </si>
  <si>
    <t xml:space="preserve">FY24 Short-Doyle/Medi-Cal Reimbursement &amp; FY25 Mental Health Revenue - Mcal FFP, SGF, IGT &amp; MCHIP. MHARC TCR # 12942. </t>
  </si>
  <si>
    <t>Trial Court Funding 3rd Qt.</t>
  </si>
  <si>
    <t>AR02658514</t>
  </si>
  <si>
    <t>b-60</t>
  </si>
  <si>
    <t>AR02658822</t>
  </si>
  <si>
    <t>0002658358</t>
  </si>
  <si>
    <t>advance to revenue March 2025</t>
  </si>
  <si>
    <t>Mecial Center Revenue</t>
  </si>
  <si>
    <t>Medical Center Revenue</t>
  </si>
  <si>
    <t>Fire Dept to the State of Forestry</t>
  </si>
  <si>
    <t>FY2025 1st Quarter</t>
  </si>
  <si>
    <t>RUHS Medical Center Revenue from IEHP. MCARC TCR# 9546.</t>
  </si>
  <si>
    <t>c-60</t>
  </si>
  <si>
    <t>AR02659248</t>
  </si>
  <si>
    <t xml:space="preserve">Fire Department- Fire Protection Revenue from the City of Menifee. </t>
  </si>
  <si>
    <t>779030/779125</t>
  </si>
  <si>
    <t>Current Ending Cash</t>
  </si>
  <si>
    <t>d-60</t>
  </si>
  <si>
    <t>AR02659695</t>
  </si>
  <si>
    <t>AR02659680</t>
  </si>
  <si>
    <t>0002658840</t>
  </si>
  <si>
    <t>0002658670</t>
  </si>
  <si>
    <t>779030/779060</t>
  </si>
  <si>
    <t xml:space="preserve">Fire Department- Fire Protection Revenue from the City of Lake Elsinore. </t>
  </si>
  <si>
    <t>FY25 PP06</t>
  </si>
  <si>
    <t>e-60</t>
  </si>
  <si>
    <t>AP02660210</t>
  </si>
  <si>
    <t>AP02660209</t>
  </si>
  <si>
    <t>AR02660054</t>
  </si>
  <si>
    <t>AR02660051</t>
  </si>
  <si>
    <t>FY25 Mental Health issued 22 warrants ranging from $73.35 to $482,262.</t>
  </si>
  <si>
    <t>FY25 Mental Health issued 107 warrants ranging from $8.46 to $428,187.34.</t>
  </si>
  <si>
    <t>Auditor-Controller's Office - State Board of Equalization - Local Sales Tax Revenue. ACARC TCR# 40464.</t>
  </si>
  <si>
    <t>f-60</t>
  </si>
  <si>
    <t>AP02660712</t>
  </si>
  <si>
    <t>AR02660489</t>
  </si>
  <si>
    <t>AR02660459</t>
  </si>
  <si>
    <t>AR02660453</t>
  </si>
  <si>
    <t>0002655076</t>
  </si>
  <si>
    <t>0002659190</t>
  </si>
  <si>
    <t>0002655040</t>
  </si>
  <si>
    <t>0002654726</t>
  </si>
  <si>
    <t>0002655043</t>
  </si>
  <si>
    <t>0002654729</t>
  </si>
  <si>
    <t>0002655409</t>
  </si>
  <si>
    <t>0002659175</t>
  </si>
  <si>
    <t>0002658472</t>
  </si>
  <si>
    <t>FY25 Mental Health issued 29 warrants ranging from $21.53 to $556,649,.45.</t>
  </si>
  <si>
    <t xml:space="preserve">FY25 Mental Health Revenue - Mcal FFP, SGF, IGT &amp; MCHIP. MHARC TCR # 12945. </t>
  </si>
  <si>
    <t>FY25 Department of Public Health State Revenue. HSARC TCR# 134760.</t>
  </si>
  <si>
    <t>755921/755923</t>
  </si>
  <si>
    <t>230100/230310</t>
  </si>
  <si>
    <t>750740/755919/755921</t>
  </si>
  <si>
    <t>g-60</t>
  </si>
  <si>
    <t>AP02661130</t>
  </si>
  <si>
    <t>AR02661023</t>
  </si>
  <si>
    <t>0002660838</t>
  </si>
  <si>
    <t>0002660433</t>
  </si>
  <si>
    <t>0002658664</t>
  </si>
  <si>
    <t>GFC to CREST
FY2024-2025</t>
  </si>
  <si>
    <t>GFC to RCIT 
Integrated Services Delivery Project
FY2025</t>
  </si>
  <si>
    <t>Department of Environmental Health issued a payment of $1,061,985.89 to Waste Management via EHARC Voucher # 00016184.</t>
  </si>
  <si>
    <t>Environmental Health Expense</t>
  </si>
  <si>
    <t>General Fund Contribution to CREST</t>
  </si>
  <si>
    <t>General Fund Contribution to Integreated Services Delivery</t>
  </si>
  <si>
    <t>h-60</t>
  </si>
  <si>
    <t>AP02661717</t>
  </si>
  <si>
    <t>AP02661718</t>
  </si>
  <si>
    <t>AR02661513</t>
  </si>
  <si>
    <t>AR02661486</t>
  </si>
  <si>
    <t>0002659167</t>
  </si>
  <si>
    <t>0002660429</t>
  </si>
  <si>
    <t>ITACCS2509</t>
  </si>
  <si>
    <t>RCIT Enterprise Services March 2025
M.O. 3.12, 1-09-2024</t>
  </si>
  <si>
    <t>FY25 Mental Health issued 147 warrants ranging from $14.68 to $691,192.06.</t>
  </si>
  <si>
    <t>FY25 Mental Health issued 56 warrants ranging from $8.35 to $437,123.45.</t>
  </si>
  <si>
    <t>230100/779200</t>
  </si>
  <si>
    <t xml:space="preserve">Fire Department- Fire Protection Revenue from the City of Coachella. </t>
  </si>
  <si>
    <t>118300/118400</t>
  </si>
  <si>
    <t>GF UCI Contribution to TLMA D5-SignalizationSanTimoteoCanyon/RedlandsBlvd
Lakeview/Nuevo Beautification Project BOS 3.36 ID#27430_03/18/25 FY25</t>
  </si>
  <si>
    <t>General Fund Contribution to TLMA</t>
  </si>
  <si>
    <t>FY2025 March RCIT Service</t>
  </si>
  <si>
    <t>FY25 Department of Public Health State Revenue for Immunization Grant. HSARC TCR# 134764.</t>
  </si>
  <si>
    <t>Public Health State Revenue</t>
  </si>
  <si>
    <t>FY25 Immunization Grant Qtr. 2</t>
  </si>
  <si>
    <t>AP02662141</t>
  </si>
  <si>
    <t>AR02661988</t>
  </si>
  <si>
    <t>AP02661904</t>
  </si>
  <si>
    <t>0002657566</t>
  </si>
  <si>
    <t>FMREAL0775</t>
  </si>
  <si>
    <t>Charge Direct Billing Item V# 00009633 Microwave lease Payment from PSEC to Sheriff (88%) and Fire (12%) - $1,558,037.99</t>
  </si>
  <si>
    <t>0425 Payable Lease</t>
  </si>
  <si>
    <t xml:space="preserve">FY25 Mental Health issued 145 warrants ranging from $1.46 to $1.47M. $1.47 payment to MFI Recovery Center voucher 00334208. </t>
  </si>
  <si>
    <t>FY24 Mental Health State Short-Doyle/Medi-Cal Revenue. MHARC TCR# 12953.</t>
  </si>
  <si>
    <t xml:space="preserve">Lease Payment </t>
  </si>
  <si>
    <t xml:space="preserve">Annual </t>
  </si>
  <si>
    <t>Motorola INV#33074 - Sch. 2448</t>
  </si>
  <si>
    <t>j-60</t>
  </si>
  <si>
    <t>i-60</t>
  </si>
  <si>
    <t>AR02662298</t>
  </si>
  <si>
    <t>AR02662273</t>
  </si>
  <si>
    <t>INTQ225ACR</t>
  </si>
  <si>
    <t>0002660046</t>
  </si>
  <si>
    <t>Q2 2025 INT ACRL</t>
  </si>
  <si>
    <t>FY 24/25 Admin Fee Charge for 3rd Quarter 1/1/2025-3/31/2025</t>
  </si>
  <si>
    <t xml:space="preserve">Fire Department- Fire Protection Revenue from the Cities of Rancho Mirage, Indio and Rubidoux Community. </t>
  </si>
  <si>
    <t>FY25 Mar 2025</t>
  </si>
  <si>
    <t>FY25 Auditor-Controller's Office - State Revenue from VLF Realignment. ACARC TCR #40483.</t>
  </si>
  <si>
    <t>FY25 2nd Qtr Accrual</t>
  </si>
  <si>
    <t>Administration Allocation-Money Max</t>
  </si>
  <si>
    <t>FY25 3rd Qtr.</t>
  </si>
  <si>
    <t>k-60</t>
  </si>
  <si>
    <t>AP02662811</t>
  </si>
  <si>
    <t>AP02662832</t>
  </si>
  <si>
    <t>AR02662590</t>
  </si>
  <si>
    <t>0002660040</t>
  </si>
  <si>
    <t>0002659622</t>
  </si>
  <si>
    <t>0002660918</t>
  </si>
  <si>
    <t>0002660022</t>
  </si>
  <si>
    <t>0002659630</t>
  </si>
  <si>
    <t>0002660037</t>
  </si>
  <si>
    <t>0002660027</t>
  </si>
  <si>
    <t>0002660031</t>
  </si>
  <si>
    <t>0002655036</t>
  </si>
  <si>
    <t>0002659623</t>
  </si>
  <si>
    <t>0002660029</t>
  </si>
  <si>
    <t>0002659634</t>
  </si>
  <si>
    <t>0002655706</t>
  </si>
  <si>
    <t>0002659631</t>
  </si>
  <si>
    <t>0002655707</t>
  </si>
  <si>
    <t>PSAF - 1/2% Sales Tax Distribution March 2025.</t>
  </si>
  <si>
    <t>AB109 FY2425 Partial 2nd Qtr and AB109 FY1718 thru FY2324 Revenue Recon</t>
  </si>
  <si>
    <t>New Allocation. Realignment 1 - Transfer March 2025 Realignment Revenue for Sales Tax to Soc. Services - GF Operating Accounts.</t>
  </si>
  <si>
    <t>Realignment 2 - Transfer March 2025 Sales Tax, State Hospital Offset and Managed Care Offset from Mental Health sub-fund deferred revenue account to GF operating account.</t>
  </si>
  <si>
    <t>Trial Court Security for March 2025.</t>
  </si>
  <si>
    <t>RCRMC PAYOR MOU MARCH 24/25</t>
  </si>
  <si>
    <t>Realignment - Transfer March 2025 Realignment Revenue for VLF to Health GF Operating Accounts.</t>
  </si>
  <si>
    <t>FY2425 Arlington unfunded cost and MC
BH DX transfer to Medical Center - March
2025</t>
  </si>
  <si>
    <t>FY25 Mental Health issued 48 warrants ranging from $440.12 to $647,158.92.</t>
  </si>
  <si>
    <t>Probation Issued Warrants</t>
  </si>
  <si>
    <t>FY25 Probation issued 12 warrants ranging from $513.78 to $509,460.</t>
  </si>
  <si>
    <t>208142/230141</t>
  </si>
  <si>
    <t>PSAF - March 2025</t>
  </si>
  <si>
    <t>Realignment 1 - March 2025</t>
  </si>
  <si>
    <t>Realignment 2 - March 2025</t>
  </si>
  <si>
    <t>March 2025</t>
  </si>
  <si>
    <t>FY25 March 2025</t>
  </si>
  <si>
    <t>VLF March 2025</t>
  </si>
  <si>
    <t>FY25 Mental Health Transfer to Medical Center - March</t>
  </si>
  <si>
    <t>l-60</t>
  </si>
  <si>
    <t>AP02663146</t>
  </si>
  <si>
    <t>AP02663137</t>
  </si>
  <si>
    <t>AR02663049</t>
  </si>
  <si>
    <t>Fire Department issued 16 warrants. Amounts of warrants range from $41.20 to $61,637,844.17. $61.6mil payment to State of California Department of Forestry 2nd Quarter FY25. FPARC Voucher# 00421449.</t>
  </si>
  <si>
    <t>Executive Office JPA Revenue Sharing Agreement</t>
  </si>
  <si>
    <t>Executive Office issued 7 warrants. Amounts of warrants range from $29.35 to $1.6mil. Payments for March JPA Revenue Sharing agreement - April pymts in the amount of $1.6M to the City of Moreno Valley, $1.2M to the City of Riverside, and $1.2M to the City of Perris. EOARC Vouchers 00051612, 00051613, and 00051614 respectively.</t>
  </si>
  <si>
    <t>Mental Health - State Revenue received for SAMHSA-SAPT FY25 Q2 . MHARC TCR# 12957.</t>
  </si>
  <si>
    <t>Mental Health State Revenue</t>
  </si>
  <si>
    <t>732140/767210/775520/775560</t>
  </si>
  <si>
    <t>m-60</t>
  </si>
  <si>
    <t>AP02663517</t>
  </si>
  <si>
    <t>AP02663518</t>
  </si>
  <si>
    <t>0002662554</t>
  </si>
  <si>
    <t>0002661465</t>
  </si>
  <si>
    <t>0002659578</t>
  </si>
  <si>
    <t>0002661444</t>
  </si>
  <si>
    <t>0002663251</t>
  </si>
  <si>
    <t>0002662248</t>
  </si>
  <si>
    <t>0002662502</t>
  </si>
  <si>
    <t>FY2425 MHSA/2011RA YTD Q3 Revenue Recognition</t>
  </si>
  <si>
    <t>FY2425 MHSA YTD 0325 Revenue Recognition</t>
  </si>
  <si>
    <t>FY 24/25 March 2025 Tax Fund Transfer
Processed by Maria Moreno 951.940.6359</t>
  </si>
  <si>
    <t>Revenue Received for the Franklin Project FY2324 &amp; FY2425</t>
  </si>
  <si>
    <t>Reclass Gen Fund Expenses to AB109 Fund 11167 FY24/25 Jan - Mar 25</t>
  </si>
  <si>
    <t>CalSAWS- Oasis JE for 03/27/2025</t>
  </si>
  <si>
    <t>Calsaws - Oasis JE 3/28/2025</t>
  </si>
  <si>
    <t>FY25 Mental Health issued 106 warrants ranging from $5.00 to $396,779.36.</t>
  </si>
  <si>
    <t>FY25 Mental Health issued 71 warrants ranging from $7.92 to $288,827.68.</t>
  </si>
  <si>
    <t>751040/755900</t>
  </si>
  <si>
    <t>Mental Health Realignment and MHSA</t>
  </si>
  <si>
    <t>2011 Realignment and MHSA Revenue</t>
  </si>
  <si>
    <t>Mental Health Franklin Project Revenue</t>
  </si>
  <si>
    <t>FY2324 &amp; 2425</t>
  </si>
  <si>
    <t>751040/767200</t>
  </si>
  <si>
    <t>FY25 3rd Quarter</t>
  </si>
  <si>
    <t>n-60</t>
  </si>
  <si>
    <t>AP02663840</t>
  </si>
  <si>
    <t>AR02663709</t>
  </si>
  <si>
    <t>FY25 Mental Health issued 58 warrants ranging from $12.41 to $669,295.95.</t>
  </si>
  <si>
    <t>o-60</t>
  </si>
  <si>
    <t>AP02664128</t>
  </si>
  <si>
    <t>AR02663963</t>
  </si>
  <si>
    <t>FY25 Mental Health issued 90 warrants ranging from $17.52 to $457,823.91.</t>
  </si>
  <si>
    <t>112100/118501</t>
  </si>
  <si>
    <t>Sheriff Department - Contractual Revenue from Cities of Indian Wells and Rancho Mirage.</t>
  </si>
  <si>
    <t>p-60</t>
  </si>
  <si>
    <t>AR02664285</t>
  </si>
  <si>
    <t>0002663289</t>
  </si>
  <si>
    <t>0002663290</t>
  </si>
  <si>
    <t>0002662873</t>
  </si>
  <si>
    <t>0002662707</t>
  </si>
  <si>
    <t>0002662866</t>
  </si>
  <si>
    <t>HR General Support Services FY25 Q4</t>
  </si>
  <si>
    <t>IN2406a Profession Fees &amp; Svcs April Reclass - Loma Linda University Shared Services LOA Public Health Q1 &amp; Q2 FY2025</t>
  </si>
  <si>
    <t>FY25 PP07</t>
  </si>
  <si>
    <t xml:space="preserve">Fire Department- Fire Protection Revenue </t>
  </si>
  <si>
    <t>Public Health Expense</t>
  </si>
  <si>
    <t>Loma Linda Univeristy  Q1 &amp; Q2</t>
  </si>
  <si>
    <t xml:space="preserve">FY25 HR General Support Services Rate 4th Quarter </t>
  </si>
  <si>
    <t>q-60</t>
  </si>
  <si>
    <t>AP02664753</t>
  </si>
  <si>
    <t>AR02664671</t>
  </si>
  <si>
    <t>0002663959</t>
  </si>
  <si>
    <t>0002662895</t>
  </si>
  <si>
    <t>Worker's Comp FY25 Q4</t>
  </si>
  <si>
    <t>Department of Public Social Services issued 32 warrants. Amounts of warrants range from $25.73 to $8,954,608. $8.9mil payment for April 2025 IHSS MOE Billing. DPARC Voucher# 00211336.</t>
  </si>
  <si>
    <t>Department of Public Social Services issued 12 warrants. Amounts of warrants range from $96.05 to $8,954,608. $8.9mil payment to Dept. of Public Social Services for March 2025 FY25 Preliminar IHSS MOE via DPARC Voucher# 00211004.</t>
  </si>
  <si>
    <t>Fire Department- Fire Protection Revenue from the cities of Beaumont, Canyon Lake, Norco and Wildomar and the State of California.</t>
  </si>
  <si>
    <t>GF Contribution to OED 1st, and 2nd Quarters FY 24/25</t>
  </si>
  <si>
    <t>General Fund Contribution to Office of Economic Development</t>
  </si>
  <si>
    <t xml:space="preserve">FY25 Worker's Comp 4th Quarter </t>
  </si>
  <si>
    <t>r-60</t>
  </si>
  <si>
    <t>AP02665261</t>
  </si>
  <si>
    <t>0002663245</t>
  </si>
  <si>
    <t>CalSAWS - Oasis JE for 04/01/2025</t>
  </si>
  <si>
    <t>Mental Health issued 39 warrants.  Warrants range from $18.09 to $350,053.72.</t>
  </si>
  <si>
    <t>s-60</t>
  </si>
  <si>
    <t>AP02665668</t>
  </si>
  <si>
    <t>AP02665687</t>
  </si>
  <si>
    <t>AP02665704</t>
  </si>
  <si>
    <t>AR02665483</t>
  </si>
  <si>
    <t>AR02665453</t>
  </si>
  <si>
    <t>AR02665455</t>
  </si>
  <si>
    <t>AR02665456</t>
  </si>
  <si>
    <t>0002665044</t>
  </si>
  <si>
    <t>GL FY 24-25 CY SEC SA2</t>
  </si>
  <si>
    <t>FY25 Department of Public Social Services issued 1 warrants ranging in amounts $5,476,676.69 for UDW AFSCME Local 3930 for IHSS Health Benefits. DPARC Voucher# 00211408.</t>
  </si>
  <si>
    <t>Department of Fire issued 34 warrants amounts ranging between $16 to $1.8M. Payment for personal service agreement for Licensed Timber Operator for Elisinore Front Country Fuel Break Phase 2.</t>
  </si>
  <si>
    <t>Special Program Expense</t>
  </si>
  <si>
    <t>Election Services</t>
  </si>
  <si>
    <t>Registration of Voters received checks for election services via RVARC 1392.</t>
  </si>
  <si>
    <t>771210/771220/771230</t>
  </si>
  <si>
    <t xml:space="preserve">Sheriff Department - Contractual Revenue from City of Coachella, La Quinta, and Desert Sands Unified School District. </t>
  </si>
  <si>
    <t xml:space="preserve">Sheriff Department - Contractual Revenue from City of Indian Wells, City of Rancho Mirage, March Joint Powers Authority, and Moreno Valley Unified School District. </t>
  </si>
  <si>
    <t>772830/700020</t>
  </si>
  <si>
    <t>t-60</t>
  </si>
  <si>
    <t>AR02665896</t>
  </si>
  <si>
    <t>AR02665891</t>
  </si>
  <si>
    <t>AR02665909</t>
  </si>
  <si>
    <t>FMMAIN1226</t>
  </si>
  <si>
    <t>MAINT Other Apr 2025</t>
  </si>
  <si>
    <t xml:space="preserve">Sheriff Department - Contractual Revenue from City of San Jacinto, San Jacinto Unified School District, and San Jacinto Valley Academy.   </t>
  </si>
  <si>
    <t>FY25 Department of Public Health State Revenue. HSARC TCR#134783.</t>
  </si>
  <si>
    <t>Momthly</t>
  </si>
  <si>
    <t>Fire Department - Fire Protection Revenue Q2 FY25 from City of Eastvale, Mountain Communities, and State of California.</t>
  </si>
  <si>
    <t>FY2025 April Maintenance</t>
  </si>
  <si>
    <t>u-60</t>
  </si>
  <si>
    <t>AP02666432</t>
  </si>
  <si>
    <t>FY25 Mental Health issued 28 warrants ranging from $6.37 to $498,069.00.</t>
  </si>
  <si>
    <t>v-60</t>
  </si>
  <si>
    <t>AP02666814</t>
  </si>
  <si>
    <t>AP02666863</t>
  </si>
  <si>
    <t>0002666243</t>
  </si>
  <si>
    <t>FY25 Mental Health issued 19 warrants ranging from $39.77 to $918,540.00.</t>
  </si>
  <si>
    <t>FY25 Sheriff Department issued 20 warrants ranging from $6.19 to $1,435,588.13. $1.43 mil annual payment to Axon Enterprise for certification and equipment. SHARC Voucher# 00595174.</t>
  </si>
  <si>
    <t>0002662984</t>
  </si>
  <si>
    <t>0002662921</t>
  </si>
  <si>
    <t>Property Insurance ISF FY25 Q4</t>
  </si>
  <si>
    <t>General &amp; Auto Laibility Insurance FY25 Q4</t>
  </si>
  <si>
    <t xml:space="preserve">FY25 Property Insurance 4th Quarter </t>
  </si>
  <si>
    <t xml:space="preserve">FY25 General/Auto Liability Insurance 4th Quarter </t>
  </si>
  <si>
    <t>w-60</t>
  </si>
  <si>
    <t>AP02667229</t>
  </si>
  <si>
    <t>AP02667230</t>
  </si>
  <si>
    <t>AR02667037</t>
  </si>
  <si>
    <t>FY25 Mental Health issued 44 warrants ranging from $95.34 to $797,353.32.</t>
  </si>
  <si>
    <t>FY25 Mental Health issued 64 warrants ranging from $11.14 to $426,176.71.</t>
  </si>
  <si>
    <t>BDARC</t>
  </si>
  <si>
    <t>Board of Supervisors Revenue</t>
  </si>
  <si>
    <t>FY Board of Supervisors Revenue via BDARC TCR# 1202.</t>
  </si>
  <si>
    <t>x-60</t>
  </si>
  <si>
    <t>AP02667619</t>
  </si>
  <si>
    <t>0002666512</t>
  </si>
  <si>
    <t>0002666300</t>
  </si>
  <si>
    <t>FY25 Mental Health issued 68 warrants ranging from $4.25 to $488,211.44.</t>
  </si>
  <si>
    <t>FY25 PP08</t>
  </si>
  <si>
    <t>y-60</t>
  </si>
  <si>
    <t>AP02668269</t>
  </si>
  <si>
    <t>AP02668181</t>
  </si>
  <si>
    <t>AP02668317</t>
  </si>
  <si>
    <t>AR02668127</t>
  </si>
  <si>
    <t>AR02668104</t>
  </si>
  <si>
    <t>AR02668103</t>
  </si>
  <si>
    <t>0002666510</t>
  </si>
  <si>
    <t>ITACCS2510</t>
  </si>
  <si>
    <t>FMREAL0778</t>
  </si>
  <si>
    <t>RCIT Enterprise Services April 2025
M.O. 3.12, 1-09-2024</t>
  </si>
  <si>
    <t>0525 Payable Lease</t>
  </si>
  <si>
    <t>0002667753</t>
  </si>
  <si>
    <t>Advance to Revenue-April 2025</t>
  </si>
  <si>
    <t>525440/528000</t>
  </si>
  <si>
    <t>FY2025 3rd Quarter</t>
  </si>
  <si>
    <t>Executive Office - State Apportionment Revenue for Tobbacco Fund received via TCR EOARC 13644.</t>
  </si>
  <si>
    <t>FY2025 AB199 Tobbacco Fund Revenue</t>
  </si>
  <si>
    <t xml:space="preserve">Sheriff Department - Contractual Revenue from City of Norco, Corona-Norco USD, Jurupa USD, Jururpa CSD, City of Jurupa Valley &amp; City of Eastvale.   </t>
  </si>
  <si>
    <t>Probration Revenue - OYCR</t>
  </si>
  <si>
    <t>FY25 PP09</t>
  </si>
  <si>
    <t>FY2025 April RCIT Service</t>
  </si>
  <si>
    <t>FY24-26  Revenue</t>
  </si>
  <si>
    <t>Assessors Department issued 11 warrants.  Amounts of warrants range from $22.01 to $3,772,310.45. $3.7 mil Fee to State Controller's Office ASARC voucher# 00063814.</t>
  </si>
  <si>
    <t>Fire Department issued 26 warrants. Amounts of warrants range from $45 to $61,637,844.17.  $61 mil payment to State of California Department of Forestry 4th Quarter FY25. FPARC Voucher# 00422131. $1.3 mil one time payment to AllStar for equipment FPARC voucher# 00422104.</t>
  </si>
  <si>
    <t>Mental Health department issued 40 warrants. Amounts of warrants range from $23.91 to $1,494,078.65. $1.4M payment to MFI Recovery Center MHARC voucher# 00333058.</t>
  </si>
  <si>
    <t>California Health &amp; Human Services OYCR  2yr FY24-FY26 Revenue. PRARC TCR# 3507.</t>
  </si>
  <si>
    <t>z-60</t>
  </si>
  <si>
    <t>0002666229</t>
  </si>
  <si>
    <t>0002664236</t>
  </si>
  <si>
    <t>RCRMC PAYOR MOU  APRIL 24/25</t>
  </si>
  <si>
    <t>CIP Fund</t>
  </si>
  <si>
    <t>FY25 april 2025</t>
  </si>
  <si>
    <t>Executive Office BOS 3.42 (ID#27022) 2/25/25 CIP - RSO Projects - Claim #1 EO Project #1A &amp; 1B</t>
  </si>
  <si>
    <t>a-61</t>
  </si>
  <si>
    <t>AR02668902</t>
  </si>
  <si>
    <t>Mental Health Revenue - Federal Medi-Cal FFP via MHARC TCR# 12960.</t>
  </si>
  <si>
    <t>b-61</t>
  </si>
  <si>
    <t>AR02669346</t>
  </si>
  <si>
    <t>0002668861</t>
  </si>
  <si>
    <t>INTQ325CSH</t>
  </si>
  <si>
    <t>Q3 2025 INT CASH</t>
  </si>
  <si>
    <t>Mental Health State Revenue via MHARC TCR# 12973.</t>
  </si>
  <si>
    <t>FY25 3rd Qtr Cash</t>
  </si>
  <si>
    <t xml:space="preserve">MH State Allocation </t>
  </si>
  <si>
    <t>c-61</t>
  </si>
  <si>
    <t>AR02669693</t>
  </si>
  <si>
    <t>AR02669677</t>
  </si>
  <si>
    <t>AR02669695</t>
  </si>
  <si>
    <t>Emergency Management Department - Revenue from American Medical Response Holdo inc. Checks range from $50 to $812,585.38.</t>
  </si>
  <si>
    <t>Fire Department - Fire Protection Revenue Q2 FY25 from City of Indio, City of San Jacinto, State of California, and Maverick Solar Inc. FPARC TCR# 14987.</t>
  </si>
  <si>
    <t>Auditor-Controller's Office - State Board of Equalization Local Sales Tax Revenue. ACARC TCR# 40619.</t>
  </si>
  <si>
    <t>d-61</t>
  </si>
  <si>
    <t>AR02670038</t>
  </si>
  <si>
    <t>FY25 April 2025</t>
  </si>
  <si>
    <t>FY25 Auditor-Controller's Office - State Revenue from VLF Realignment, Public Health TCR #40622.</t>
  </si>
  <si>
    <t>e-61</t>
  </si>
  <si>
    <t>AP02670764</t>
  </si>
  <si>
    <t>AR02670567</t>
  </si>
  <si>
    <t>0002666573</t>
  </si>
  <si>
    <t>0002670348</t>
  </si>
  <si>
    <t>CalSAWS - Oasis JE for 04/28/2025</t>
  </si>
  <si>
    <t>FY25 Mental Health issued 17 warrants ranging from $63.08 to $980,712.00.</t>
  </si>
  <si>
    <t xml:space="preserve">Mental Health Revenue - Short-Doyle/Medi-Cal Non-Perinatal and Perinatal State Revenue. MHARC TCR # 12977. </t>
  </si>
  <si>
    <t>f-61</t>
  </si>
  <si>
    <t>AR02671220</t>
  </si>
  <si>
    <t>AR02671219</t>
  </si>
  <si>
    <t>AR02671295</t>
  </si>
  <si>
    <t>0002669237</t>
  </si>
  <si>
    <t>0002670929</t>
  </si>
  <si>
    <t>Sheriff Department - Contractual Revenue from City of Perris</t>
  </si>
  <si>
    <t>FY25 Department of Public Health State and Moreno Valley Animal Control Revenue. TCR#134802</t>
  </si>
  <si>
    <t>112100/118301</t>
  </si>
  <si>
    <t>Mental Health - State Revenue TCR# 12980</t>
  </si>
  <si>
    <t>751600/767181/775550</t>
  </si>
  <si>
    <t>FY25 DPSS Reimbursement</t>
  </si>
  <si>
    <t>To process reimbursement to DPSS EDP-IT Purchase BOS 3.36 11/5/24 ID# 26346 FY 24/25</t>
  </si>
  <si>
    <t>g-61</t>
  </si>
  <si>
    <t>AP02671656</t>
  </si>
  <si>
    <t>AP02671571</t>
  </si>
  <si>
    <t>AP02671657</t>
  </si>
  <si>
    <t>AR02671418</t>
  </si>
  <si>
    <t>AR02671455</t>
  </si>
  <si>
    <t>0002670149</t>
  </si>
  <si>
    <t>FY25 Mental Health issued 67 warrants ranging from $25.70 to $341,250.35</t>
  </si>
  <si>
    <t>Emergency Management/Other cities Issued Warrants</t>
  </si>
  <si>
    <t>Emergency Management Department issued 12 warrants.  Amounts of warrants range from $13,263.68 to $324,443.61</t>
  </si>
  <si>
    <t>FY25 Mental Health issued 19 warrants ranging from $309.93 to $350,669.77</t>
  </si>
  <si>
    <t>FY25 Department of Public Health State Revenue. HSARC TCR#134803</t>
  </si>
  <si>
    <t>Mental Health - State Revenue TCR# 12983 &amp; 12984</t>
  </si>
  <si>
    <t>h-61</t>
  </si>
  <si>
    <t>AR02671796</t>
  </si>
  <si>
    <t>0002670385</t>
  </si>
  <si>
    <t>0002671379</t>
  </si>
  <si>
    <t>0002671374</t>
  </si>
  <si>
    <t>0002671391</t>
  </si>
  <si>
    <t>PSAF - 1/2% Sales Tax Distribution April 2025.</t>
  </si>
  <si>
    <t>New Allocation. Realignment 1 - Transfer April 2025 Realignment Revenue for Sales Tax to Soc. Services - GF Operating Accounts.</t>
  </si>
  <si>
    <t>Realignment 2 - Transfer April 2025 Sales Tax, State Hospital Offset and Managed Care Offset from Mental Health sub-fund deferred revenue account to GF operating account.</t>
  </si>
  <si>
    <t>Trial Court Security for April 2025.</t>
  </si>
  <si>
    <t>0002671382</t>
  </si>
  <si>
    <t>Realignment - Transfer April 2025 Realignment Revenue for VLF to Health GF Operating Accounts.</t>
  </si>
  <si>
    <t>PSAF - April 2025</t>
  </si>
  <si>
    <t>Realignment 1 - april 2025</t>
  </si>
  <si>
    <t>Realignment 2 - April 2025</t>
  </si>
  <si>
    <t>April 2025</t>
  </si>
  <si>
    <t>VLF April 2025</t>
  </si>
  <si>
    <t>Sheriff Department - Contractual Revenue from City of Moreno Valley.  TCR#68152</t>
  </si>
  <si>
    <t>230129/751600/767181</t>
  </si>
  <si>
    <t>i-61</t>
  </si>
  <si>
    <t>AR02672175</t>
  </si>
  <si>
    <t>0002669232</t>
  </si>
  <si>
    <t>0002668855</t>
  </si>
  <si>
    <t>0002666583</t>
  </si>
  <si>
    <t>0002669189</t>
  </si>
  <si>
    <t>0002670334</t>
  </si>
  <si>
    <t>0002666994</t>
  </si>
  <si>
    <t>0002670329</t>
  </si>
  <si>
    <t>FY2425 Arlington unfunded cost and MC
BH DX transfer to Medical Center - April
2025</t>
  </si>
  <si>
    <t>Sheriff Department - Contractual Revenue from city of Norco and city of Jurupa Valley. TCR#68160</t>
  </si>
  <si>
    <t xml:space="preserve">Point Team S&amp;B Allocation from CREST to Assessor covering actuals from PP 15-2024 through PP08-2025 and projected cost covering 6.3 pay periods. </t>
  </si>
  <si>
    <t>FY25 Mental Health Transfer to Medical Center - April</t>
  </si>
  <si>
    <t>Assessor's Revenue</t>
  </si>
  <si>
    <t>Point Team S&amp;B Allocation</t>
  </si>
  <si>
    <t>j-61</t>
  </si>
  <si>
    <t>AP02672691</t>
  </si>
  <si>
    <t>AR02672505</t>
  </si>
  <si>
    <t>0002672170</t>
  </si>
  <si>
    <t>GL FY 24-25 CY SBE CS2</t>
  </si>
  <si>
    <t>0002672112</t>
  </si>
  <si>
    <t>FY25 FLEET MONTHLY BILLING PER 9 MARCH</t>
  </si>
  <si>
    <t>Mental Health department issued 25 warrants. Amounts of warrants range from $30.44 to $397,146.87</t>
  </si>
  <si>
    <t>Sheriff Department - Contractual Revenue from City of Rancho Mirage, Indian Wells, Agua Caliente casino, Palm Springs Unified.</t>
  </si>
  <si>
    <t>70020/772830/733000</t>
  </si>
  <si>
    <t>FY25 Fleet Services March 2025</t>
  </si>
  <si>
    <t>FY24-25 Secured Advance 2 - CY SEC SA2</t>
  </si>
  <si>
    <t>FY25 State Board of Equalization Colletion 2 - CY SBE CS2</t>
  </si>
  <si>
    <t>k-61</t>
  </si>
  <si>
    <t>AP02673082</t>
  </si>
  <si>
    <t>AR02672870</t>
  </si>
  <si>
    <t>00R2670348</t>
  </si>
  <si>
    <t>0002672150</t>
  </si>
  <si>
    <t>Reversal CalSAWS - Oasis JE for 04/28/2025-Main Payroll to be posted in P11</t>
  </si>
  <si>
    <t>Correction to TCR 49836 to correct accounting string should be 725020 10000 1400100000. these funds are for BDARC</t>
  </si>
  <si>
    <t>Mental Health department issued 71 warrants. Amounts of warrants range from $10.10 to $397,061.12</t>
  </si>
  <si>
    <t>Sheriff Department - Contractual Revenue from city of La Quinta. TCR#68193</t>
  </si>
  <si>
    <t>Treasurer's Office Revenue</t>
  </si>
  <si>
    <t>l-61</t>
  </si>
  <si>
    <t>AP02673381</t>
  </si>
  <si>
    <t>0002666619</t>
  </si>
  <si>
    <t>0002670919</t>
  </si>
  <si>
    <t>IN2190 - EPIC Maintenance &amp; Optimization PH portion</t>
  </si>
  <si>
    <t>County of Riverside Hospital Project
Leasehold revenue Bonds (1997A &amp; 2012A)
FY 24/25 Debt Service Billing</t>
  </si>
  <si>
    <t>FY25 Department of Public Social Services issued 27 warrants ranging in amounts of $30 to $8,954,608. $8.9mil payment for Preliminary IHSS MOE for May 2025. DPARC Voucher# 00211772.</t>
  </si>
  <si>
    <t>EPIC Maintenance &amp; Optimization</t>
  </si>
  <si>
    <t>551100/781680</t>
  </si>
  <si>
    <t>Debt Service</t>
  </si>
  <si>
    <t>m-61</t>
  </si>
  <si>
    <t>AR02673618</t>
  </si>
  <si>
    <t>0002673576</t>
  </si>
  <si>
    <t>CORAL- Hospital Debt Service</t>
  </si>
  <si>
    <t>FY25 Repayment of General Fund advance to CORAL for debt service payments.</t>
  </si>
  <si>
    <t>Environmental Health - Revenue. EHARC TCR# 32890.</t>
  </si>
  <si>
    <t>n-61</t>
  </si>
  <si>
    <t>0002672466</t>
  </si>
  <si>
    <t>0002673893</t>
  </si>
  <si>
    <t>RCRMC PAYOR MOU  MAY 24/25</t>
  </si>
  <si>
    <t>0002673607</t>
  </si>
  <si>
    <t xml:space="preserve">General Fund Contribution to FMARC </t>
  </si>
  <si>
    <t>General Fund Contribution to FMARC FY 24/25 Budget</t>
  </si>
  <si>
    <t>FY 24-25 CY SUP Apr</t>
  </si>
  <si>
    <t>FY24-25 CY SUP April</t>
  </si>
  <si>
    <t>704000/733000  733020/781242</t>
  </si>
  <si>
    <t>FY25 May 2025</t>
  </si>
  <si>
    <t>GF Contribution to FMARC Community Centers National Date Festival FY24/25</t>
  </si>
  <si>
    <t>o-61</t>
  </si>
  <si>
    <t>AP02674599</t>
  </si>
  <si>
    <t>AP02674600</t>
  </si>
  <si>
    <t>AR02674356</t>
  </si>
  <si>
    <t>0002670935</t>
  </si>
  <si>
    <t>00C2670348</t>
  </si>
  <si>
    <t>0002671742</t>
  </si>
  <si>
    <t>0002672163</t>
  </si>
  <si>
    <t>0002672134</t>
  </si>
  <si>
    <t>CalSAWS - Oasis JE for 04/29/2025.</t>
  </si>
  <si>
    <t>Correction CalSAWS - Oasis JE for 04/28/2025- Main Payroll</t>
  </si>
  <si>
    <t>CalSAWS - Oasis JE for 05/01/2025</t>
  </si>
  <si>
    <t>This transaction transfers to trust for the period noted, pending subsequent expenditure, the county match for the SB163 WrapAround Project.</t>
  </si>
  <si>
    <t>0002672432</t>
  </si>
  <si>
    <t>0002672484</t>
  </si>
  <si>
    <t>0002673584</t>
  </si>
  <si>
    <t>0002673585</t>
  </si>
  <si>
    <t>0002672165</t>
  </si>
  <si>
    <t>0002672144</t>
  </si>
  <si>
    <t>0002672167</t>
  </si>
  <si>
    <t>0002672160</t>
  </si>
  <si>
    <t>0002673182</t>
  </si>
  <si>
    <t>0002672444</t>
  </si>
  <si>
    <t>0002672462</t>
  </si>
  <si>
    <t>FY 25 Mental Health issued 81 warrants ranging from $11.50 to $642,579.87.</t>
  </si>
  <si>
    <t>FY 25 Mental Health issued 25 warrants ranging from $18.47 to $920,800.00.</t>
  </si>
  <si>
    <t>Sheriff Department - Contractual Revenue from CA department of ABC, CHP Academy South, City of Perris, City of Rancho Mirage, Commision on Peace Officer Standards, Desert Champions LLC and Perris Union high School District. TCR #s: 68219, 68221 and 68222</t>
  </si>
  <si>
    <t>DPSS/ DPARC Contributions to GF Correction</t>
  </si>
  <si>
    <t>Semi Annually</t>
  </si>
  <si>
    <t>118300/118400/208142/130141</t>
  </si>
  <si>
    <t>118300/118400/208142/230141/530440/750700/750741/750742</t>
  </si>
  <si>
    <t>One-Tme</t>
  </si>
  <si>
    <t>p-61</t>
  </si>
  <si>
    <t>AR02674875</t>
  </si>
  <si>
    <t>AR02674844</t>
  </si>
  <si>
    <t>Registrar of Voters Revenue</t>
  </si>
  <si>
    <t>771210/771220 771230/780040</t>
  </si>
  <si>
    <t>FY25 Depart of Public Health State Revenue. HSARC TCR #134816</t>
  </si>
  <si>
    <t>Registrar of Voters - Revenue received for State Election Reimbursement, City Election Services and School Election Services. RVARC TCR# 1398</t>
  </si>
  <si>
    <t>q-61</t>
  </si>
  <si>
    <t>AR02675289</t>
  </si>
  <si>
    <t>AR02675286</t>
  </si>
  <si>
    <t>AR02675315</t>
  </si>
  <si>
    <t>0002674266</t>
  </si>
  <si>
    <t>Advance To Revenue-May 2025</t>
  </si>
  <si>
    <t>FMREAL0787</t>
  </si>
  <si>
    <t>0002671386</t>
  </si>
  <si>
    <t>RV663 TI Chargeback INV1160608</t>
  </si>
  <si>
    <t>FY2425 Arlington unfunded cost and MC
BH DX transfer to Medical Center - May
2025</t>
  </si>
  <si>
    <t>FY25 Department of Public Health State Revenue. HSARC TCR# 134817</t>
  </si>
  <si>
    <t>Public Health revenue</t>
  </si>
  <si>
    <t>732140/751600, 767181/767186, 775520</t>
  </si>
  <si>
    <t>Mental Health revenue</t>
  </si>
  <si>
    <t>Mental Health - State Revenue MHARC TCR# 12991</t>
  </si>
  <si>
    <t>750320/761020</t>
  </si>
  <si>
    <t>Building Maintainence</t>
  </si>
  <si>
    <t>FY25 Mental Health Transfer to Medical Center - May</t>
  </si>
  <si>
    <t>Sheriff Department - Contractual Revenue from City of Temecula and De Luz (Santa Rosa) C.S.D. SHARC TCR # 68212</t>
  </si>
  <si>
    <t>r-61</t>
  </si>
  <si>
    <t>0002675596</t>
  </si>
  <si>
    <t>GL Export 05/15/2025 Business Date.</t>
  </si>
  <si>
    <t>May 2025 Export</t>
  </si>
  <si>
    <t>713000/775510/770010/770090/781080</t>
  </si>
  <si>
    <t>s-61</t>
  </si>
  <si>
    <t>AP02676038</t>
  </si>
  <si>
    <t>AP02676151</t>
  </si>
  <si>
    <t>AR02675953</t>
  </si>
  <si>
    <t>0002674223</t>
  </si>
  <si>
    <t>ITACCS2511</t>
  </si>
  <si>
    <t>0002673993</t>
  </si>
  <si>
    <t>RCIT Enterprise Services May 2025
M.O. 3.12, 1-09-2024</t>
  </si>
  <si>
    <t>Department of Public Social Services issued 1 warrant. Payment for May 2054 IHSS Health Benefits in the amount of $5.5. Voucher DPARC 00212006.</t>
  </si>
  <si>
    <t>Annual Fees</t>
  </si>
  <si>
    <t>Sheriff Department - Contractual Revenue from City of Lake Elsinore. SHARC TCR 68282</t>
  </si>
  <si>
    <t>FY25 PP10</t>
  </si>
  <si>
    <t>FY2025 May RCIT Service</t>
  </si>
  <si>
    <t>FY25 Probation issued 3 warrants ranging from $249.99 to $1,074,678. $1,074,678 was paid to Tyler Technologies SaaS on PRARC V #00160864</t>
  </si>
  <si>
    <t>t-61</t>
  </si>
  <si>
    <t>0002674781</t>
  </si>
  <si>
    <t>0002674216</t>
  </si>
  <si>
    <t>FY25 FLEET MONTHLY BILLING PER 10 APRIL</t>
  </si>
  <si>
    <t>FY25 Fleet Services April 2025</t>
  </si>
  <si>
    <t>u-61</t>
  </si>
  <si>
    <t>AR02677320</t>
  </si>
  <si>
    <t>Sheriff Department - Contractual Revenue from Cities of Canyon Lake and Wildomar, and the Moreno Valley Unified School District</t>
  </si>
  <si>
    <t>v-61</t>
  </si>
  <si>
    <t>0002676415</t>
  </si>
  <si>
    <t>GL FY24-25 CY SEC SS2</t>
  </si>
  <si>
    <t>FY24-25 CY SEC SS2</t>
  </si>
  <si>
    <t>w-61</t>
  </si>
  <si>
    <t>AR02677971</t>
  </si>
  <si>
    <t>AR02677972</t>
  </si>
  <si>
    <t>0002673580</t>
  </si>
  <si>
    <t>0002675916</t>
  </si>
  <si>
    <t>0002675921</t>
  </si>
  <si>
    <t>0002676413</t>
  </si>
  <si>
    <t>FY25 3rd Qtr OOC General Fund
Revenue Distribution Jan - Mar 2025</t>
  </si>
  <si>
    <t>755918/755920-755923</t>
  </si>
  <si>
    <t>230141/118300</t>
  </si>
  <si>
    <t>FY25 3rd Qtr</t>
  </si>
  <si>
    <t>x-61</t>
  </si>
  <si>
    <t>AR02678365</t>
  </si>
  <si>
    <t>AR02678367</t>
  </si>
  <si>
    <t>AR02678351</t>
  </si>
  <si>
    <t>Sheriff Department - Contractual Revenue from City of Perris and Ritchie Bros Auction. TC SHARC # 68323</t>
  </si>
  <si>
    <t>Executive Office - Principal TRANS Payment via TCR 13654</t>
  </si>
  <si>
    <t>Sheriff Department - Contractual Revenue from City of Moreno, City of Palm Desert and HIDTA. TCR SHARC #s: 68337,68339 and 68340</t>
  </si>
  <si>
    <t>230100/779040/779060/781360</t>
  </si>
  <si>
    <t>710020/750250</t>
  </si>
  <si>
    <t xml:space="preserve"> Auditor Controller's Office State Revenue from VLF. TCR ACARC 40771</t>
  </si>
  <si>
    <t>Fire Department - Fire Protection Revenue from The City of Lake Elsinore, Global Metal recyclying, J. Armbruster and the State of California (CDTFA Fuel). FPARC TCR #s: 15051 and 15052</t>
  </si>
  <si>
    <t>y-61</t>
  </si>
  <si>
    <t>AP02678927</t>
  </si>
  <si>
    <t>AR02678704</t>
  </si>
  <si>
    <t>AR02678705</t>
  </si>
  <si>
    <t>0002675901</t>
  </si>
  <si>
    <t>0002674780</t>
  </si>
  <si>
    <t>FMMAIN1227</t>
  </si>
  <si>
    <t>FMREAL0788</t>
  </si>
  <si>
    <t>SIMPLER LLC invoices managed by MC per contract</t>
  </si>
  <si>
    <t>MAINT Other May 2025</t>
  </si>
  <si>
    <t>0625 Payable Lease</t>
  </si>
  <si>
    <t>FY 25 Mental health issued 33 warrants ranging from $174.96 to $453,890.00</t>
  </si>
  <si>
    <t>201101/201400</t>
  </si>
  <si>
    <t>Sheriff Department - Contractual revenue from City of Palm Desert, Southwest Church and The Living Desert Zoo and Gardens. SHARC TCR # 68322</t>
  </si>
  <si>
    <t>Sheriff Department - Contractual revenue from City of Coachella, City of La Quinta and Alcohol. Tobacco, Firearms, #21-LAX-086-ATF. SHARC TCR#s 68353,68357 and 68358</t>
  </si>
  <si>
    <t>One- Time</t>
  </si>
  <si>
    <t>Medical Center IT Expense</t>
  </si>
  <si>
    <t>Professional Services - Contractual Obligation</t>
  </si>
  <si>
    <t>FY 2025 May Maintenance</t>
  </si>
  <si>
    <t>FY2025 June Lease</t>
  </si>
  <si>
    <t>z-61</t>
  </si>
  <si>
    <t>AR02679095</t>
  </si>
  <si>
    <t>AR02679146</t>
  </si>
  <si>
    <t>0002677945</t>
  </si>
  <si>
    <t>0002678677</t>
  </si>
  <si>
    <t>0002678652</t>
  </si>
  <si>
    <t>0002678308</t>
  </si>
  <si>
    <t>PSAF - 1/2% Sales Tax Distribution May 2025.</t>
  </si>
  <si>
    <t>New Allocation. Realignment 1 - Transfer May 2025 Realignment Revenue for Sales Tax to Soc. Services - GF Operating Accounts.</t>
  </si>
  <si>
    <t>Realignment 2 - Transfer May 2025 Sales Tax, State Hospital Offset and Managed Care Offset from Mental Health sub-fund deferred revenue account to GF operating account.</t>
  </si>
  <si>
    <t>Trial Court Security for May 2025.</t>
  </si>
  <si>
    <t>0002678687</t>
  </si>
  <si>
    <t>Realignment - Transfer May 2025 Realignment Revenue for VLF to Public Health GF Operating Accounts.</t>
  </si>
  <si>
    <t>Agriculture Revenue</t>
  </si>
  <si>
    <t>FY25 Department of Agriculture Revenue including civil penaties, Commision Salary reimbursement, unclaimed Gas Tax, Sealer of Weaights &amp; Measures, miscellaneous reimbursement and due to 3rd party. AGARC TCR #s 7126,7127 &amp; 7128</t>
  </si>
  <si>
    <t>209100/732080/752000/752060/772500/772520</t>
  </si>
  <si>
    <t>FY25 Mental Health Revenue - Federal Medi-Cal FFP  MCHIP IGT, Short/Doyle,  Non Perinatal and Perinatal state revenue. MHARC TCR # 13016</t>
  </si>
  <si>
    <t>PSAF - May 2025</t>
  </si>
  <si>
    <t>Realignment 1 - May 2025</t>
  </si>
  <si>
    <t>Realignment 2 Sales Tax - Hospital</t>
  </si>
  <si>
    <t>Realignment 2 - May 2025</t>
  </si>
  <si>
    <t xml:space="preserve">Realignment VLF to Public Health </t>
  </si>
  <si>
    <t>Realignement - May 2025</t>
  </si>
  <si>
    <t>Civil penalties, CA AG Commision Salary reimbursement, Misc.Reimbu AG SVCS, Sealer of weights &amp; measures, due to 3rd parties</t>
  </si>
  <si>
    <t>a-62</t>
  </si>
  <si>
    <t>AP02679572</t>
  </si>
  <si>
    <t>FY25 Mental health issued 20 warrants ranging from $23.41 to $ 918,140.00</t>
  </si>
  <si>
    <t>0002677270</t>
  </si>
  <si>
    <t>0002675896</t>
  </si>
  <si>
    <t>118300/230141</t>
  </si>
  <si>
    <t>0002678227</t>
  </si>
  <si>
    <t>0002678222</t>
  </si>
  <si>
    <t>0002678044</t>
  </si>
  <si>
    <t>FY25 PP11</t>
  </si>
  <si>
    <t>FY25 ERAF VLF 2nd Payment in May 2025 GASB84</t>
  </si>
  <si>
    <t xml:space="preserve">FY25 2nd Pymt </t>
  </si>
  <si>
    <t>b-62</t>
  </si>
  <si>
    <t>AP02679840</t>
  </si>
  <si>
    <t>AP02679925</t>
  </si>
  <si>
    <t>Department of Public Social Services issued 42 warrants ranging in amounts from $13.17 to $8,954,608.00. $8.9mil payment for June 2025 IHSS MOE service billing. DPARC voucher # 00212307</t>
  </si>
  <si>
    <t>One-time</t>
  </si>
  <si>
    <t>Public Defender's Office issued 14 warrants ranging in amounts from $51.45 to $1,936,048.66. $1.9 mil payment to the State Bar for unspent funds per 2023-2024 CARE Court expenditure report. PDARC voucher # 00028850</t>
  </si>
  <si>
    <t>0002679402</t>
  </si>
  <si>
    <t>FY 24-25 RPTTF June Distribution</t>
  </si>
  <si>
    <t>FY24-25 RPTTF Collection 2 - RPTTF Jun</t>
  </si>
  <si>
    <t>770550/781000/715070</t>
  </si>
  <si>
    <t>0002678633</t>
  </si>
  <si>
    <t>0002678597</t>
  </si>
  <si>
    <t>0002679323</t>
  </si>
  <si>
    <t>0002679007</t>
  </si>
  <si>
    <t>CalSAWS - Oasis JE for 05/28/2025</t>
  </si>
  <si>
    <t>CalSAWS - Oasis JE for 05/29/2025</t>
  </si>
  <si>
    <t>To reclass CIP Pass-thru Revenues distributed in the FY24-25 June RPTTF distribution</t>
  </si>
  <si>
    <t>RPTTF CIP Pass-Thru Jun 2025</t>
  </si>
  <si>
    <t>OA&amp;I 2023-2024 CARE Court Unspent Funds California State Bar</t>
  </si>
  <si>
    <t>Public Defender Expense</t>
  </si>
  <si>
    <t>c-62</t>
  </si>
  <si>
    <t>AP02680284</t>
  </si>
  <si>
    <t>FY25 Mental Health department issued 64 warrants with amounts ranging from $18.80 to $486,359.00</t>
  </si>
  <si>
    <t>AR02680112</t>
  </si>
  <si>
    <t>Sheriff Department - Contractual Revenue from City of Eastvale, City of Jurupa Valley, City of Norco, Corona-Norco unified School District, Hemet Unified School District, Jutupa Community Services District, Jurupa Unified School Distirct. SHARC TCR#s 68412 &amp; 68414</t>
  </si>
  <si>
    <t>0002676909</t>
  </si>
  <si>
    <t>Recognize Revenues to Probation and PACT for period 07/01/24 to 04/30/25</t>
  </si>
  <si>
    <t>755932/755982</t>
  </si>
  <si>
    <t>FY 25 1st - 3rd Quarter</t>
  </si>
  <si>
    <t>0002678208</t>
  </si>
  <si>
    <t>Bi- Weekly</t>
  </si>
  <si>
    <t>FY25PP11</t>
  </si>
  <si>
    <t>d-62</t>
  </si>
  <si>
    <t>AP02680575</t>
  </si>
  <si>
    <t>ITACCS2512</t>
  </si>
  <si>
    <t>0002680027</t>
  </si>
  <si>
    <t>RCIT Enterprise Services June 2025
M.O. 3.12, 1-09-2024</t>
  </si>
  <si>
    <t>GFC to CIP and EO DMP 
BOS:3.3 (ID#27803) _5/20/25</t>
  </si>
  <si>
    <t>Fire Department issued 71 warrants. Amounts of warrants range from $17.22 to $1,556,639.47. $1.5mil  payment to Fire Apparatus Solutions for the purchase of a 2024 Spartan Gladiator Chassis. FPARC Voucher# 00423735.</t>
  </si>
  <si>
    <t>FY2025 June RCIT Service</t>
  </si>
  <si>
    <t>General Fund Contribution to CIP and EO DMP Fund</t>
  </si>
  <si>
    <t>e-62</t>
  </si>
  <si>
    <t>AP02680846</t>
  </si>
  <si>
    <t>AP02680910</t>
  </si>
  <si>
    <t>AR02680766</t>
  </si>
  <si>
    <t>FY25 Sheriff Department issued 164 warrants ranging from $9.99 to $231,832.70.</t>
  </si>
  <si>
    <t xml:space="preserve">Emergency Management Dept. State Revenue. EMARC TCR# 7228/7229. </t>
  </si>
  <si>
    <t>Fire Dept to the State of Foresty</t>
  </si>
  <si>
    <t>FY 2025 3rd Qarter</t>
  </si>
  <si>
    <t>Fire Department issued 43 warrants. Amounts of warrants range from $7.21 to $60,617,807.83. $60.6 mil  payment to State of California Department of Foresty 3rd Quarter FY25. FPARC Voucher# 00424340</t>
  </si>
  <si>
    <t>AP02681183</t>
  </si>
  <si>
    <t>AP02681227</t>
  </si>
  <si>
    <t>AP02681265</t>
  </si>
  <si>
    <t>f-62</t>
  </si>
  <si>
    <t>FY25 Mental Health department issued 42 warrants with amounts ranging from $10.74 to $549,504.00</t>
  </si>
  <si>
    <t>FY25 Sheriff Department issued 78 warrants ranging from $11.69 to $964,769.94</t>
  </si>
  <si>
    <t>Fire Department issued 49 warrants. Amounts of warrants range from $16.44 to $1,357,003.70. $1.3 mil  payment to Fire Apparatus Solutionsfor Drawn Aerial Fire Aparatus. FPARC Voucher# 00424335</t>
  </si>
  <si>
    <t>g-62</t>
  </si>
  <si>
    <t>AP02681673</t>
  </si>
  <si>
    <t>AP02681586</t>
  </si>
  <si>
    <t>767181/767182</t>
  </si>
  <si>
    <t>Department of Public Social Services issued 49 warrants. Amounts of warrants range from $145.24 to $390,473.93.</t>
  </si>
  <si>
    <t>FY25 Mental Health department issued 103 warrants with amounts ranging from $10.86 to $2,942,666.00. $2.9 and $ 1.3 mil payments to State Dept of Health Care Services for benefit services via MHARC voucher #s 00338686 &amp; 00338687.</t>
  </si>
  <si>
    <t>h-62</t>
  </si>
  <si>
    <t>AP02682125</t>
  </si>
  <si>
    <t>AP02682126</t>
  </si>
  <si>
    <t>AR02681941</t>
  </si>
  <si>
    <t>AR02681923</t>
  </si>
  <si>
    <t>FY 25 Mental Health issued 79 warrants ranging from $6.21 to $588,873.21</t>
  </si>
  <si>
    <t>FY 25 Mental Health issued 52 warrants ranging from $13.88 to $381,593.12</t>
  </si>
  <si>
    <t>FY 2025 Fire Contractual Revenue Qtr 3.</t>
  </si>
  <si>
    <t>Fire Department - Fire Protection Revenue Q3 FY25 from City of Coachella FPARC TCR# 15099.</t>
  </si>
  <si>
    <t>Sheriff Department - Contractual revenue from City of Perris, LEAPS, Matador Security, Mt. View Mortuary and Rose Mortuary. SHARC TCR # 68441</t>
  </si>
  <si>
    <t>i-62</t>
  </si>
  <si>
    <t>AP02682554</t>
  </si>
  <si>
    <t>AP02682459</t>
  </si>
  <si>
    <t>AP02682555</t>
  </si>
  <si>
    <t>AR02682377</t>
  </si>
  <si>
    <t>0002680713</t>
  </si>
  <si>
    <t>FY25 FLEET MONTHLY BILLING PER 11 MAY</t>
  </si>
  <si>
    <t>FY 25 Mental Health issued 119 warrants ranging from $4.51 to $436,729.04</t>
  </si>
  <si>
    <t>Department of Public Social Services issued 48 warrants. Amounts of warrants range from $58.71 to $385,000</t>
  </si>
  <si>
    <t>FY 25 Mental Health issued 54 warrants ranging from $43.98 to $335,780</t>
  </si>
  <si>
    <t>Sheriff Department - Contractual revenue from City of Moreno Valley and Department of Defense. SHARC TCR # 68474</t>
  </si>
  <si>
    <t>FY25 Fleet Services May 2025</t>
  </si>
  <si>
    <t>j-62</t>
  </si>
  <si>
    <t>AP02683262</t>
  </si>
  <si>
    <t>AR02683135</t>
  </si>
  <si>
    <t>AR02683137</t>
  </si>
  <si>
    <t>AR02683180</t>
  </si>
  <si>
    <t>AR02683165</t>
  </si>
  <si>
    <t>AR02683167</t>
  </si>
  <si>
    <t>AR02683178</t>
  </si>
  <si>
    <t>0002680417</t>
  </si>
  <si>
    <t>0002680091</t>
  </si>
  <si>
    <t>0002678646</t>
  </si>
  <si>
    <t>0002680076</t>
  </si>
  <si>
    <t>0002680739</t>
  </si>
  <si>
    <t>CalSAWS- Oasis JE for 06/02/2025</t>
  </si>
  <si>
    <t>FY25 June</t>
  </si>
  <si>
    <t>DPSS issued 1 warrant in the amount of $5,503,051.80. Payment for June 2025 IHSS Health Benefits. Voucher DPARC 00212580</t>
  </si>
  <si>
    <t>District Attorney Revenue</t>
  </si>
  <si>
    <t>District Attorney - Revenue from City of Indio for Coachella Music Festival Reimbursement.  TCR DAARC 8020</t>
  </si>
  <si>
    <t>FY25 Q3 Revenue</t>
  </si>
  <si>
    <t>State of California BSCC Mobile Probation Services Grant. FY25 Revenue. PRARC TCR# 3511.</t>
  </si>
  <si>
    <t>767200/781480</t>
  </si>
  <si>
    <t>Mental Health - State Revenue received for SAMHSA-SAPT Fy25 Q3. MHARC TCR# 13025.</t>
  </si>
  <si>
    <t>Fire Department - Fire Protection Revenue Q3 FY25 from City of Perris FPARC TCR# 15112.</t>
  </si>
  <si>
    <t>779120/230100</t>
  </si>
  <si>
    <t>732140/751600/767181/781480</t>
  </si>
  <si>
    <t>118300/118400/208141/230142</t>
  </si>
  <si>
    <t>Fire Department - Fire Protection Revenue Q3 FY25 from City of Desert Hotspring, Rubidoux Community Services, County of Rivereside, State of California.</t>
  </si>
  <si>
    <t>Mental Health - State Revenue via MHARC TCR# 13020</t>
  </si>
  <si>
    <t>k-62</t>
  </si>
  <si>
    <t>AP02683887</t>
  </si>
  <si>
    <t>AR02683644</t>
  </si>
  <si>
    <t>AR02683648</t>
  </si>
  <si>
    <t>AR02683681</t>
  </si>
  <si>
    <t>AR02683678</t>
  </si>
  <si>
    <t>0002681318</t>
  </si>
  <si>
    <t>0002681314</t>
  </si>
  <si>
    <t>Superior Court of California</t>
  </si>
  <si>
    <t>Probation Department -FY2425 Revenue for 3rd quarter pretrial from Superior Court of California. PRARC TCR#3512</t>
  </si>
  <si>
    <t>Sheriff Department - Contractual revenue from City of Palm Desert, Perris Union High School District, Ritchie Bros. Auctions. SHARC TCR #s 68489 and 68496</t>
  </si>
  <si>
    <t>771210/771220/771230/780040</t>
  </si>
  <si>
    <t>Registrar of Voters - Revenue received for State Election Reimbursement, City Election Services and School Election Services. RVARC TCR# 1404 and 1405</t>
  </si>
  <si>
    <t>732140/751401/767185/767186/767200</t>
  </si>
  <si>
    <t>Mental Health - State Revenue and Fees TCR# 13028</t>
  </si>
  <si>
    <t>FY 25 Mental Health issued 53 warrants ranging from $20.43 to $641,955.03</t>
  </si>
  <si>
    <t>FY25 PP12</t>
  </si>
  <si>
    <t>l-62</t>
  </si>
  <si>
    <t>AP02684351</t>
  </si>
  <si>
    <t>AR02684250</t>
  </si>
  <si>
    <t>AR02684272</t>
  </si>
  <si>
    <t>AR02684233</t>
  </si>
  <si>
    <t>AR02684236</t>
  </si>
  <si>
    <t>AR02684238</t>
  </si>
  <si>
    <t>FY 25 Department of Public Social Services issued 25 warrants ranging from $30 to $406K</t>
  </si>
  <si>
    <t>DPSS/Other Department Issued Warrants</t>
  </si>
  <si>
    <t xml:space="preserve">FY25 Department of Agriculture Revenue received revenue from the State of California for 2025 Mill and Industrial Hemp. AGARC TCR #s 7152 &amp; 7151. </t>
  </si>
  <si>
    <t xml:space="preserve">2025 Mill </t>
  </si>
  <si>
    <t xml:space="preserve">Sheriff Department received revenue for extra duty, and other misc revenue. </t>
  </si>
  <si>
    <t>Other Revenue</t>
  </si>
  <si>
    <t>773590, 777060,777780, 781360</t>
  </si>
  <si>
    <t xml:space="preserve">Sheriff Department - Contractual Revenue from City of San Jacinto and San Jacinto Valley Academy. </t>
  </si>
  <si>
    <t xml:space="preserve">Sheriff Department - Contractual Revenue from Alvord Unified School District and City of Temecula. </t>
  </si>
  <si>
    <t>Sheriff's Revenue</t>
  </si>
  <si>
    <t>m-62</t>
  </si>
  <si>
    <t>AP02684927</t>
  </si>
  <si>
    <t>AR02684750</t>
  </si>
  <si>
    <t>230100/771300/777120/779040/779145/779230</t>
  </si>
  <si>
    <t>0002683026</t>
  </si>
  <si>
    <t>0002683106</t>
  </si>
  <si>
    <t>CalFresh Replacements FY2425 Reversal</t>
  </si>
  <si>
    <t>FY 24/25 Solar Fund transfer to General Fund
BOS 3.50 06/25/2013</t>
  </si>
  <si>
    <t>CalFresh Replacement Reversal JE</t>
  </si>
  <si>
    <t>Solar Fund</t>
  </si>
  <si>
    <t>0002681316</t>
  </si>
  <si>
    <t>FY25 Department of Public Health issued 90 warrants ranging in amount from $3.01 to $224,750.00</t>
  </si>
  <si>
    <t xml:space="preserve">Fire Department - Fire Protection Revenue </t>
  </si>
  <si>
    <t>n-62</t>
  </si>
  <si>
    <t>AP02685629</t>
  </si>
  <si>
    <t>AP02685551</t>
  </si>
  <si>
    <t>Sheriff Expense</t>
  </si>
  <si>
    <t>Sheriff Issued Warrants</t>
  </si>
  <si>
    <t>AR02685245</t>
  </si>
  <si>
    <t>FMREAL0793</t>
  </si>
  <si>
    <t>PR079 TI Chargeback</t>
  </si>
  <si>
    <t>Unamortized Portion of Tenants Improvements Final Prepayment Fee</t>
  </si>
  <si>
    <t>FY25 Mental Health issued 18 warrants ranging from $623,470.38 to $120.16.</t>
  </si>
  <si>
    <t>FY25 Sheriff Department issued 203 warrants ranging from $400,702.38 to $28.63</t>
  </si>
  <si>
    <t>FY25 Department of Public Health -State Revenue. $1,009,970.54  Dept. of Health Services Outreach. HSARC TCR # 134852</t>
  </si>
  <si>
    <t>o-62</t>
  </si>
  <si>
    <t>AR02685864</t>
  </si>
  <si>
    <t>741300/750980/767210</t>
  </si>
  <si>
    <t>FY25 Mental Health State revenue And Fees. Including Substance Abuse funding of  $1,197,001.65 for SABG-ARP-SFY2425-2021-Q3-33. TCR MHARC 13031</t>
  </si>
  <si>
    <t>AR02685823</t>
  </si>
  <si>
    <t>710020/731200</t>
  </si>
  <si>
    <t>FY25 Q3</t>
  </si>
  <si>
    <t>AR02685839</t>
  </si>
  <si>
    <t>AR02685836</t>
  </si>
  <si>
    <t>Executive Office - State Apportionment Revenue for AB1869 Criminal Fees Backfill received via TCR EOARC 13660</t>
  </si>
  <si>
    <t>FY24-25 AB1869 Criminal Fees Backfill</t>
  </si>
  <si>
    <t>0002684706</t>
  </si>
  <si>
    <t>AB109 FY2425 Partial 2, 2nd Qtr</t>
  </si>
  <si>
    <t>0002682709</t>
  </si>
  <si>
    <t>Advance to Revenue-June 2025</t>
  </si>
  <si>
    <t>00R2678687</t>
  </si>
  <si>
    <t>Reversing JE 0002678687 : Realignment - Transfer May 2025 Realignment Revenue for VLF to Public Health GF Operating Accounts.</t>
  </si>
  <si>
    <t>0002679666</t>
  </si>
  <si>
    <t>RCRMC INTERIM FFP JUNE 24/25</t>
  </si>
  <si>
    <t>FY25 June 2025</t>
  </si>
  <si>
    <t>0002684176</t>
  </si>
  <si>
    <t>GF Contribution FY24/25
RUHS: Hospital Support
Medical Center</t>
  </si>
  <si>
    <t>Annualy</t>
  </si>
  <si>
    <t>GF Contribution to RUHS</t>
  </si>
  <si>
    <t>Auditor-Controller's Office - State Board of Equalization Local Sales Tax Revenue.Includes $3,796,678.61 ACARC TCR# 40892</t>
  </si>
  <si>
    <t>Fire Department Quarterly Revenue FPARC TCR# 15121</t>
  </si>
  <si>
    <t>p-62</t>
  </si>
  <si>
    <t>AP02686541</t>
  </si>
  <si>
    <t>Mental Health issued 70 warrants ranging from $7.52 to $486,198.26</t>
  </si>
  <si>
    <t>AP02686540</t>
  </si>
  <si>
    <t>Mental Health issued 70 warrants ranging from $72.54 to $390,340.00</t>
  </si>
  <si>
    <t>AP02686583</t>
  </si>
  <si>
    <t>Sheriff Department 89 warrants ranging from $356.95 to $528,039.23</t>
  </si>
  <si>
    <t>AR02686333</t>
  </si>
  <si>
    <t>FY25 Department of Public Health -Center for Disease Control ACH. HSARC TCR # 134856</t>
  </si>
  <si>
    <t>INTQ325ACR</t>
  </si>
  <si>
    <t>Q3 2025 INT ACRL</t>
  </si>
  <si>
    <t>FMREAL0794</t>
  </si>
  <si>
    <t>RV663 TI Chargeback</t>
  </si>
  <si>
    <t>q-62</t>
  </si>
  <si>
    <t>AR02686851</t>
  </si>
  <si>
    <t>Sheriff Contractual Revenue</t>
  </si>
  <si>
    <t>Sheriff Bank Fees</t>
  </si>
  <si>
    <t>773520/773570/777060/777780</t>
  </si>
  <si>
    <t>AR02686811</t>
  </si>
  <si>
    <t>AR02686812</t>
  </si>
  <si>
    <t>Sheriff Department - Contractual revenue from Acheson &amp; Graham Garden of Prayer, City of Eastvale, City of Jururpa Valley, City of Norco, Corona-Norco Unified School District, Jurupa Community Services District, Jurupa Unified School District, LaQuinta High School, LEAPS, New Journey Cremation, Pierce Brothers Crestlawn, Rubidoux-Jurupa Valley Mortuary and Tulip Cremation. SHARC TCR #s: 68563, 68565,68566 and 68569</t>
  </si>
  <si>
    <t>AR02686833</t>
  </si>
  <si>
    <t>230100/741280/779040/779210/779270/779290/781360</t>
  </si>
  <si>
    <t>AR02686820</t>
  </si>
  <si>
    <t>Federal In Lieu Taxes</t>
  </si>
  <si>
    <t>731200/764500</t>
  </si>
  <si>
    <t>AR02686834</t>
  </si>
  <si>
    <t>Fire Department - Fire Protection Revenue Q3 FY25 from City of Temecula and City of Moreno Valley FPARC TCR# 15139</t>
  </si>
  <si>
    <t>230100/779140/779170</t>
  </si>
  <si>
    <t>Auditor Controller Property Tax - Federal Revenue for Payment in Lieu of Taxes - $4,416,461 ACARC TCR# 40908 and City of Palm Springs Parking Surcharges ACARC TCR # 40909</t>
  </si>
  <si>
    <t>0002686149</t>
  </si>
  <si>
    <t>FY25 PP13</t>
  </si>
  <si>
    <t>00C2678687</t>
  </si>
  <si>
    <t>This transaction shifts funding from FY2425 Public Health VLF Base for the SCO FY2324 Realignment Distribution correction on ACARC 40771 dated 5-28-25</t>
  </si>
  <si>
    <t>0002684663</t>
  </si>
  <si>
    <t>This transaction shifts funding from FY2425 SS Sales Tax Base for the SCO FY2324 Realignment Distribution correction on ACARC 40771 dated 5-28-25</t>
  </si>
  <si>
    <t>Sheriff Department Bank Administration Return Correction fees</t>
  </si>
  <si>
    <t>Sheriff Department - Contractual revenue from City of Jurupa Valley, City of Moreno Valley, City of Norcoc and March Joint Powers Authority. SHARC TCR#s 68549,68575 and 68576</t>
  </si>
  <si>
    <t>Fire Department-Fire Protection Revenue. FPARC TCR # 15136</t>
  </si>
  <si>
    <t>r-62</t>
  </si>
  <si>
    <t>AR02687054</t>
  </si>
  <si>
    <t>773520 ,735570 ,777760, 777780</t>
  </si>
  <si>
    <t>Sheriff Department - Contractual revenue from City of San Jacinto, Metropolitan Reporting Bureau, &amp; Marcus Family Law Center.  SHARC TCR#s 68528</t>
  </si>
  <si>
    <t>s-62</t>
  </si>
  <si>
    <t>AR02687408</t>
  </si>
  <si>
    <t>AR02687335</t>
  </si>
  <si>
    <t>0002686175</t>
  </si>
  <si>
    <t>0002686785</t>
  </si>
  <si>
    <t>ADMIN FEE CHARGE FOR THE 4TH QTR 4/1/2025-6/30/2025 FY24/25</t>
  </si>
  <si>
    <t>0002685676</t>
  </si>
  <si>
    <t>0002685672</t>
  </si>
  <si>
    <t>230100/776500/779030/779040/779125</t>
  </si>
  <si>
    <t>Fire Department - Fire Protection Revenue Q3 FY25 from City of Menifee FPARC TCR# 15148</t>
  </si>
  <si>
    <t>FY25 Department of Public Health -State Revenue. $1,700,140.00 HSARC TCR # 134859</t>
  </si>
  <si>
    <t>FY25 4th Qtr.</t>
  </si>
  <si>
    <t>t-62</t>
  </si>
  <si>
    <t>AR02687870</t>
  </si>
  <si>
    <t>Sheriff Department - Contractual Revenue from City of Palm Desert and City of Lake Elsinore. SHARC TCR 68598 &amp; 68600</t>
  </si>
  <si>
    <t>u-62</t>
  </si>
  <si>
    <t>AR02688341</t>
  </si>
  <si>
    <t>AR02688345</t>
  </si>
  <si>
    <t>AR02688394</t>
  </si>
  <si>
    <t>0002686317</t>
  </si>
  <si>
    <t>0002686967</t>
  </si>
  <si>
    <t>0002686982</t>
  </si>
  <si>
    <t>0002685791</t>
  </si>
  <si>
    <t>Transfer Opioid Settlement Funds to 
various RUHS programs
BOS 3.41 #28220_06/24/25</t>
  </si>
  <si>
    <t>FMMAIN1228</t>
  </si>
  <si>
    <t>0002687157</t>
  </si>
  <si>
    <t>MAINT Services Jun 2025</t>
  </si>
  <si>
    <t>CalSAWS - Oasis JE for 06/26/2025</t>
  </si>
  <si>
    <t>112100/118301/118501/118601</t>
  </si>
  <si>
    <t>FY25 June2025</t>
  </si>
  <si>
    <t>FY25 Auditor-Controller's Office - State Revenue from VLF Realignment. ACARC TCR #40924</t>
  </si>
  <si>
    <t>FY25 Mental Health State Short-Doyle/Medi-Cal Revenue. MHARC TCR# 13035</t>
  </si>
  <si>
    <t>732140/750980/751401/751402/751600/767181/761185/767186/767200</t>
  </si>
  <si>
    <t>118300/118400/230141/230142</t>
  </si>
  <si>
    <t>FY24/25 Opioid Settlement Funds</t>
  </si>
  <si>
    <t>FY2025 June Maintenance</t>
  </si>
  <si>
    <t>Sheriff Department - Contractual Revenue from Agua Caliente Band of Cahulla Indians T, Agua Caliente Casino, City of Rancho Mirage, City of Indian Wells, SoCal Arena Co dba Acrisure Arena, Desert Champion LLC, DCESP Cannabis Eradiction and Palm Springs USD.</t>
  </si>
  <si>
    <t>v-62</t>
  </si>
  <si>
    <t>AR02688836</t>
  </si>
  <si>
    <t>Sheriff Department Contractual revenue from City of La Quinta, Indio Police, Southern Coachella Valley Community Service District, and Western Construction Auction. SHARC TCRs 68611 and 68612</t>
  </si>
  <si>
    <t>AR02688837</t>
  </si>
  <si>
    <t>Sheriff Department Contractual revenue from Chaparral High School, City of Moreno Valley, City of Temecula, Department of State Hospitals and Mt. San Jacinto Community College. SHARC TCRs 68623,68627,68629 and 68630</t>
  </si>
  <si>
    <t>0002688012</t>
  </si>
  <si>
    <t>0002688092</t>
  </si>
  <si>
    <t>0002685674</t>
  </si>
  <si>
    <t>0002687574</t>
  </si>
  <si>
    <t>CalSAWS - Oasis JE for 07/01/2025</t>
  </si>
  <si>
    <t>CalSAWS - Oasis JE for 06/27/2025</t>
  </si>
  <si>
    <t>FY26 General Fund advance to CORAL, POB 2005 and POB 2020 Series for debt service payments due in July</t>
  </si>
  <si>
    <t>DPSS Expense</t>
  </si>
  <si>
    <t>w-62</t>
  </si>
  <si>
    <t>AP02689439</t>
  </si>
  <si>
    <t>AR02689297</t>
  </si>
  <si>
    <t>530280/527780/523700</t>
  </si>
  <si>
    <t>0002687147</t>
  </si>
  <si>
    <t>0002687230</t>
  </si>
  <si>
    <t>0002687520</t>
  </si>
  <si>
    <t>0002688795</t>
  </si>
  <si>
    <t>FY25 4th Qtr OOC General Fund
Revenue Distribution Estimate</t>
  </si>
  <si>
    <t>FY25 4th  Qtr</t>
  </si>
  <si>
    <t>0002687504</t>
  </si>
  <si>
    <t>FY 26 Mental Health issued 11 warrants ranging from $27.18 to $175,349.46</t>
  </si>
  <si>
    <t>Sheriff Department Contractual revenue from the City of Lake Elsinore. SHARC TCR 68641</t>
  </si>
  <si>
    <t>x-62</t>
  </si>
  <si>
    <t>AP02689958</t>
  </si>
  <si>
    <t>FY26 Sheriff Department issued 110 warrants ranging from $3.29 to $951,800.14.</t>
  </si>
  <si>
    <t>AR02689755</t>
  </si>
  <si>
    <t>AR02689775</t>
  </si>
  <si>
    <t>Fire Department Various Revenue. City of Indio FY24/25 3rd Quarter $3,150,143.20. FPARC TCR# 15159</t>
  </si>
  <si>
    <t>FY26 Department of Publich Health State Revenue $4,688,511.76 and $2,740,299.00 HSARC TCR 134865</t>
  </si>
  <si>
    <t>0002689244</t>
  </si>
  <si>
    <t>0002689230</t>
  </si>
  <si>
    <t>118300/118400/208142/230142</t>
  </si>
  <si>
    <t>0002689570</t>
  </si>
  <si>
    <t>0002689546</t>
  </si>
  <si>
    <t>0002689674</t>
  </si>
  <si>
    <t>FY25 FLEET MONTHLY BILLING PER 12 JUNE</t>
  </si>
  <si>
    <t>FY25 Fleet Services June 2025</t>
  </si>
  <si>
    <t>118400/208142/230141</t>
  </si>
  <si>
    <t>y-62</t>
  </si>
  <si>
    <t>z-62</t>
  </si>
  <si>
    <t>AR02690647</t>
  </si>
  <si>
    <t>Sheriff Department Contractual Revenue from City of Perris, Perris Union High School District and Val Verde Union High School District. SHARC TCR# 68636</t>
  </si>
  <si>
    <t>AR02690648</t>
  </si>
  <si>
    <t>Sheriff Department Contractual Revenue from City of Eastvale, City of Jurupa Valley, City of La Quinta, City of Norco, Corona-Norco Unified School District, Department of Defense, Indio Police, Jurupa Community Services District, Jurupa Unified School District, and Weaver Mortuary. SHARC TCR#s 68658-68661</t>
  </si>
  <si>
    <t>0002689508</t>
  </si>
  <si>
    <t>ITACCS2601</t>
  </si>
  <si>
    <t>0002689504</t>
  </si>
  <si>
    <t>0002689506</t>
  </si>
  <si>
    <t>RCIT Enterprise Services July 2025
M.O. 3.12, 1-14-2025</t>
  </si>
  <si>
    <t>FY25 PP14</t>
  </si>
  <si>
    <t>FY2026 July RCIT Service</t>
  </si>
  <si>
    <t>112200/202100</t>
  </si>
  <si>
    <t>a-63</t>
  </si>
  <si>
    <t>AR02691000</t>
  </si>
  <si>
    <t>Sheriff Department Contractual Revenue from City of Moreno Valley and City of Coachella. SHARC TCR# 6865 &amp; 68670</t>
  </si>
  <si>
    <t>b-63</t>
  </si>
  <si>
    <t>AR02691390</t>
  </si>
  <si>
    <t>AR02691414</t>
  </si>
  <si>
    <t>AR02691408</t>
  </si>
  <si>
    <t>AR02691416</t>
  </si>
  <si>
    <t>0002690516</t>
  </si>
  <si>
    <t>0002690513</t>
  </si>
  <si>
    <t>0002690918</t>
  </si>
  <si>
    <t>0002690474</t>
  </si>
  <si>
    <t>0002687549</t>
  </si>
  <si>
    <t>FY 24/25 - Admin Allocation for CSD.</t>
  </si>
  <si>
    <t>0002690511</t>
  </si>
  <si>
    <t>Mental Health - State Revenue and Fees TCR# 13045</t>
  </si>
  <si>
    <t>Fire Department-Fire Protection Revenue. FPARC TCR # 15178</t>
  </si>
  <si>
    <t>Mental Health - State Revenue and Fees TCR# 13047</t>
  </si>
  <si>
    <t>732140/767200/767210</t>
  </si>
  <si>
    <t>Facilities Revenue</t>
  </si>
  <si>
    <t>FY24/25 Administration Allocation</t>
  </si>
  <si>
    <t>Sheriff Department Contractual Revenue from City of Wildomar, Lake Elsinore School District and Vantage Auctions. SHARC TCR#s 68671</t>
  </si>
  <si>
    <t>0002690026</t>
  </si>
  <si>
    <t>230142/230140</t>
  </si>
  <si>
    <t>c-63</t>
  </si>
  <si>
    <t>AP02692527</t>
  </si>
  <si>
    <t>AP02692491</t>
  </si>
  <si>
    <t>AP02692644</t>
  </si>
  <si>
    <t>AP02692550</t>
  </si>
  <si>
    <t>0002691219</t>
  </si>
  <si>
    <t>Realignment 2 - Transfer June 2025 Sales Tax, State Hospital Offset and Managed Care Offset from Mental Health sub-fund deferred revenue account to GF operating account.</t>
  </si>
  <si>
    <t>FY2025 4th Quarter</t>
  </si>
  <si>
    <t>IST Growth Cap Penalty</t>
  </si>
  <si>
    <t>Realignment 2 - June 2025</t>
  </si>
  <si>
    <t>Department of Public Social Services issued 1 warrant in the amount of $5,848,132.93. Payment for June 2025 IHSS Health Benefits. Voucher DPARC 00213060</t>
  </si>
  <si>
    <t>Assessors Department issued 15 warrants.  Amounts of warrants range from $40.26 to $4,047,699.76 Fee to State Controller's Office ASARC voucher# 00065166.</t>
  </si>
  <si>
    <t>d-63</t>
  </si>
  <si>
    <t>FY 25 Mental Health issued 43 warrants ranging from $28.20 to $1.26 mil.  $1,258,309.69 &amp; $1,193,290.55 vouchers MHARC 00340167 &amp; 00340169 were paid to Presidio.</t>
  </si>
  <si>
    <t>Executive Office issued 19 warrants ranging from $137.50 - $3.1 mil.  Warrant in the amount of $3.1M payment to State of California for FY24/25 IST Growth Cap Penalty. EOARC Voucher# 00052629.</t>
  </si>
  <si>
    <t>e-63</t>
  </si>
  <si>
    <t>AP02693137</t>
  </si>
  <si>
    <t>0002680372</t>
  </si>
  <si>
    <t>FY2425 Arlington unfunded cost and MC
BH DX transfer to Medical Center - June
2025</t>
  </si>
  <si>
    <t>FY25 Mental Health Transfer to Medical Center - June</t>
  </si>
  <si>
    <t>FY25 Mental Health issued 22 warrants ranging from $22.80 to $539,587.90.</t>
  </si>
  <si>
    <t>f-63</t>
  </si>
  <si>
    <t>AR02693336</t>
  </si>
  <si>
    <t>Sheriff Department Contractual Revenue from City of Moreno Valley,  Temecula Valley Highschool, and Temecula Valley USD. SHARC TCR#s 68720 &amp; 68726</t>
  </si>
  <si>
    <t>g-63</t>
  </si>
  <si>
    <t>AP02694022</t>
  </si>
  <si>
    <t>AR02693804</t>
  </si>
  <si>
    <t>AR02693826</t>
  </si>
  <si>
    <t>AR02693827</t>
  </si>
  <si>
    <t>0002692806</t>
  </si>
  <si>
    <t>0002692795</t>
  </si>
  <si>
    <t>0002691223</t>
  </si>
  <si>
    <t>0002692920</t>
  </si>
  <si>
    <t>0002692800</t>
  </si>
  <si>
    <t>0002692894</t>
  </si>
  <si>
    <t>0002691227</t>
  </si>
  <si>
    <t>0002691226</t>
  </si>
  <si>
    <t>New Allocation. Realignment 1 - Transfer June 2025 Realignment Revenue for Sales Tax to Soc. Services - GF Operating Accounts.</t>
  </si>
  <si>
    <t>Advance to Revenue-July 2025</t>
  </si>
  <si>
    <t>Trial Court Security for June 2025.</t>
  </si>
  <si>
    <t>Realignment 1 - Transfer June 2025 Sales Tax to GF Oper Acc Realignment Revenue for Sales Tax to Public Health General Fund Operating Account.</t>
  </si>
  <si>
    <t>0002691224</t>
  </si>
  <si>
    <t>0002691357</t>
  </si>
  <si>
    <t>Realignment - Transfer June 2025 Realignment Revenue for VLF to Public Health GF Operating Accounts.</t>
  </si>
  <si>
    <t>Reclass FEMA Reimbursements RUHS-CHC PW26 DR4482</t>
  </si>
  <si>
    <t>Mental Health issued 24 warrants ranging from $1,057.98 to $607,297.56</t>
  </si>
  <si>
    <t>101500/116100</t>
  </si>
  <si>
    <t>118300/118400/208141</t>
  </si>
  <si>
    <t>Realignment 1 - June 2025</t>
  </si>
  <si>
    <t>118300/118400/230141/208142</t>
  </si>
  <si>
    <t>Realignement - June 2025</t>
  </si>
  <si>
    <t>Emergency Management/FEMA Recovery Reimbursements</t>
  </si>
  <si>
    <t>Sheriff Department Contractual Revenue from City of Palm Desert. SHARC TCR# 68744</t>
  </si>
  <si>
    <t>Transfer Opioid Settlement Funds to 
various RUHS programs.  EOARC TCR# 13674</t>
  </si>
  <si>
    <t>h-63</t>
  </si>
  <si>
    <t>AP02694665</t>
  </si>
  <si>
    <t>AP02694732</t>
  </si>
  <si>
    <t>0002691218</t>
  </si>
  <si>
    <t>0002693330</t>
  </si>
  <si>
    <t>0002692326</t>
  </si>
  <si>
    <t>FMREAL0801</t>
  </si>
  <si>
    <t>PSAF - 1/2% Sales Tax Distribution June 2025.</t>
  </si>
  <si>
    <t>GL Export_FY24-25 CY SUP June- Old Year</t>
  </si>
  <si>
    <t>AB109 FY2425 Partial Q3</t>
  </si>
  <si>
    <t>0725 Payable Lease</t>
  </si>
  <si>
    <t>FY25 Mental Health issued 62 warrants ranging from $400 to $321,895.50</t>
  </si>
  <si>
    <t>PSAF - June 2025</t>
  </si>
  <si>
    <t>FY24-25 CY SUP June</t>
  </si>
  <si>
    <t>FY2026 July Lease</t>
  </si>
  <si>
    <t>i-63</t>
  </si>
  <si>
    <t>AP02695201</t>
  </si>
  <si>
    <t>AP02695200</t>
  </si>
  <si>
    <t>AP02695270</t>
  </si>
  <si>
    <t>FY25 Mental Health issued 37 warrants ranging from $7.85 to $470,898</t>
  </si>
  <si>
    <t>FY25 Mental Health issued 70 warrants ranging from $80 to $374,145.43</t>
  </si>
  <si>
    <t>Sheriff Department issued 154 warrants ranging from $12.41 to $348,282.12</t>
  </si>
  <si>
    <t>j-63</t>
  </si>
  <si>
    <t>AP02695670</t>
  </si>
  <si>
    <t>AP02695703</t>
  </si>
  <si>
    <t>0002695343</t>
  </si>
  <si>
    <t>INTQ425CSH</t>
  </si>
  <si>
    <t>FMREAL0804</t>
  </si>
  <si>
    <t>Transfer Superior Court's Annual UAL Prepayment Amount to TRANs</t>
  </si>
  <si>
    <t>Q4 2025 INT CASH</t>
  </si>
  <si>
    <t>0825 Payable Lease</t>
  </si>
  <si>
    <t>November 5th Election</t>
  </si>
  <si>
    <t>FY2025 Tax Anticipation Note</t>
  </si>
  <si>
    <t>FY25 4th Qtr Cash</t>
  </si>
  <si>
    <t>FY2026 August Lease</t>
  </si>
  <si>
    <t>532690/523750/523800</t>
  </si>
  <si>
    <t>FY26 Registrar of Voters issued 4 warrants ranging from $576.72to $1,000,500.  $1 mil payment to Dominion Voting Voucher #00056911 for ICX BMD printer HP</t>
  </si>
  <si>
    <t>FY26 Mental Health issued 80 warrants ranging from $4.50 to $391,509.85</t>
  </si>
  <si>
    <t>k-63</t>
  </si>
  <si>
    <t>AR02695869</t>
  </si>
  <si>
    <t>Sheriff Department issued 92 warrants ranging from $24.44 to $594,323.38</t>
  </si>
  <si>
    <t>Sheriff's department contractual revenue from City of Temecula, De Luz (Santa Rosa) C.S.D and Temecula Valley Unified School District. SHARC TCR # 68776</t>
  </si>
  <si>
    <t>l-63</t>
  </si>
  <si>
    <t>AP02696469</t>
  </si>
  <si>
    <t>AP02696403</t>
  </si>
  <si>
    <t>FY26 Mental health issued 109 warrants ranging from $311.25 to $561,488.73.</t>
  </si>
  <si>
    <t>One -Time</t>
  </si>
  <si>
    <t>AR02696232</t>
  </si>
  <si>
    <t>AR02696219</t>
  </si>
  <si>
    <t>AR02696220</t>
  </si>
  <si>
    <t>Fire Department issued 15 warrants ranging from $16.50 to $1,895,647.91. $1.9 mil voucher,  FPARC # 00425938, made payable to All Star Equipment for fire protection equipment.</t>
  </si>
  <si>
    <t>750250/755720</t>
  </si>
  <si>
    <t>FY26 Auditor-Controller's Office State Revenue ftom VLF realignment. ACARC TCR# 41049</t>
  </si>
  <si>
    <t>FY26 July 2025</t>
  </si>
  <si>
    <t>Sheriff Department contractual revenue from City of Eastvale, City of Jurupa Valley, Jurupa Community Services District and Jurupa Unified School District. $1.7 mil from City of Jurupa Valley. SHARC TCR # 68780</t>
  </si>
  <si>
    <t>Sheriff Department contractual revenue from City of Lake Elsinore, March Air Reserve Base, Murrieta Valley Funeral Home, The Omega Society and Wiefels and Son - P.S. $1.4 mil revenue received from City of Lake Elsinore on SHARC TCR# 68793. SHARC TCR #s 68792, 68793 and 68794</t>
  </si>
  <si>
    <t>FMCUST0994</t>
  </si>
  <si>
    <t>0002695755</t>
  </si>
  <si>
    <t>0002693237</t>
  </si>
  <si>
    <t>FMMAIN1229</t>
  </si>
  <si>
    <t>CUST Services Jul 2025</t>
  </si>
  <si>
    <t>RCRMC PAYOR JULY  25/26</t>
  </si>
  <si>
    <t>MAINT Other Jul 2025</t>
  </si>
  <si>
    <t xml:space="preserve">FY25 GFC to Cabazon Community, Mead Valley &amp; Wine Country Community Revitalization Fund
</t>
  </si>
  <si>
    <t>FY2026 July Custodial Services</t>
  </si>
  <si>
    <t>FY2026 July Maintenance</t>
  </si>
  <si>
    <t>General Fund Contribution to Revitalization Funds</t>
  </si>
  <si>
    <t>m-63</t>
  </si>
  <si>
    <t>AP02696952</t>
  </si>
  <si>
    <t>530280/527780</t>
  </si>
  <si>
    <t>AR02696769</t>
  </si>
  <si>
    <t>Sheriff department contractual revenuebfrom Agua Caliente Casino, City of Palm Desert, City of Rancho Mirage, Palm Springs Unified School District and Westin Mission Hills Resort. SHARC TCR #68779</t>
  </si>
  <si>
    <t>0002694769</t>
  </si>
  <si>
    <t>0002694138</t>
  </si>
  <si>
    <t>0002694140</t>
  </si>
  <si>
    <t>FY26 PP15</t>
  </si>
  <si>
    <t>FY26 Mental Health issued 4 warrants ranging from $708.46 to $915,120.00</t>
  </si>
  <si>
    <t>n-63</t>
  </si>
  <si>
    <t>AP02697358</t>
  </si>
  <si>
    <t>FY26 Mental Health issued 139 warrants ranging from $3.87 to  $484,502.60.</t>
  </si>
  <si>
    <t>AR02697200</t>
  </si>
  <si>
    <t>AR02697198</t>
  </si>
  <si>
    <t>CALPERS Payment</t>
  </si>
  <si>
    <t>0002696151</t>
  </si>
  <si>
    <t>0002696758</t>
  </si>
  <si>
    <t>230310/230511</t>
  </si>
  <si>
    <t>FY 2425 Mental Health Service Act -  Funding YTD</t>
  </si>
  <si>
    <t>Executive Office Payment for CALPERS Prepayment and Court Payment Allocation. EOARC TCR #s 13681. Payment to CALPERS Public Employee's Retirement in the amount of $282,685,150.</t>
  </si>
  <si>
    <t>FY25 TRANS Revenue via EOARC TCR 13675</t>
  </si>
  <si>
    <t>Department of Public Health revenue for 3rd Quarter invoices via HSARC TCR 134848</t>
  </si>
  <si>
    <t>o-63</t>
  </si>
  <si>
    <t>AR02697692</t>
  </si>
  <si>
    <t>AR02697644</t>
  </si>
  <si>
    <t>AR02697635</t>
  </si>
  <si>
    <t>AR02697637</t>
  </si>
  <si>
    <t>0002696210</t>
  </si>
  <si>
    <t>0002694126</t>
  </si>
  <si>
    <t>0002694122</t>
  </si>
  <si>
    <t>GL FY 24-25 CY UNS UC3-Old Year</t>
  </si>
  <si>
    <t>Fire Department - Fire Protection Revenue from the City of Beaumont, Sobaba Band of Indians, Riverside Comm Coll, and Automobile Club.</t>
  </si>
  <si>
    <t>Auditor-Controller's Office - State Board of Equalization Local Sales Tax Revenue via ACARC TCR# 41042</t>
  </si>
  <si>
    <t>FY25 Probation Department Revenue from Superior Court of California for Q4 Pretrial via PRACR TCR 3518</t>
  </si>
  <si>
    <t xml:space="preserve">Sheriff Department - Contractual Revenue from Cities of Canyon Lake, Coachella, La Quinta, Norco, Perris, Rancho Mirage and Wildomar, City of Blythe PD, Coachella Valley USD, Desert Sands USD, Val Verde School PD. </t>
  </si>
  <si>
    <t>FY25 Unsecured Collection 3 - CY UNS UC3</t>
  </si>
  <si>
    <t>701020/733000/733020/772830</t>
  </si>
  <si>
    <t>ACCARC</t>
  </si>
  <si>
    <t>p-63</t>
  </si>
  <si>
    <t>0002694124</t>
  </si>
  <si>
    <t>q-63</t>
  </si>
  <si>
    <t>AR02698440</t>
  </si>
  <si>
    <t>FY26 Department of Public Health - State Revenue. HSARC TCR# 134893.</t>
  </si>
  <si>
    <t>118301/118401/118501</t>
  </si>
  <si>
    <t>0002696731</t>
  </si>
  <si>
    <t>FY2425 IEHP Reclass from Org to Dept ID - May 2025</t>
  </si>
  <si>
    <t>IEHP Reclass to ECM Outreach 05/2025</t>
  </si>
  <si>
    <t>0002697061</t>
  </si>
  <si>
    <t>0002698253</t>
  </si>
  <si>
    <t>0002697048</t>
  </si>
  <si>
    <t>0002697471</t>
  </si>
  <si>
    <t>FY25-26 General/Auto Liability Rate Development July P1</t>
  </si>
  <si>
    <t>CalSAWS - Oasis JE for 08/01/2025</t>
  </si>
  <si>
    <t>CalSAWS - Oasis JE for 07/29/2025</t>
  </si>
  <si>
    <t>CalSAWS - Oasis JE for 07/30/2025</t>
  </si>
  <si>
    <t>Revenue reclass to specfied department ID</t>
  </si>
  <si>
    <t>r-63</t>
  </si>
  <si>
    <t>AP02699006</t>
  </si>
  <si>
    <t>FY26 Mental Health issued 12 warrants ranging from $43.98 to $545,731.44</t>
  </si>
  <si>
    <t>AR02698870</t>
  </si>
  <si>
    <t>Sheriff Department contractual revenue from Alvord Unified School District, City of Rancho Mirage, department of Alcoholic Beverage Control, Palm Springs Unfifed School District and SoCal Arena Co. LLC DBA Acrisure Arena. SHARC TCR #s 68835, 68838 and 68840.</t>
  </si>
  <si>
    <t>0002696696</t>
  </si>
  <si>
    <t>0002696692</t>
  </si>
  <si>
    <t>0002696701</t>
  </si>
  <si>
    <t>0002696700</t>
  </si>
  <si>
    <t>New Allocation. Realignment 1 - Transfer July 2025 Realignment Revenue for Sales Tax to Soc. Services - GF Operating Accounts.</t>
  </si>
  <si>
    <t>Realignment 2 - Transfer July 2025 Sales Tax, State Hospital Offset and Managed Care Offset from Mental Health sub-fund deferred revenue account to GF operating account.</t>
  </si>
  <si>
    <t>Trial Court Security for July 2025.</t>
  </si>
  <si>
    <t>Realignment 1 - Transfer July 2025 Sales Tax to GF Oper Acc Realignment Revenue for Sales Tax to Public Health General Fund Operating Account.</t>
  </si>
  <si>
    <t>Realignment 1 - July 2025</t>
  </si>
  <si>
    <t>Realignment 2 - July 2025</t>
  </si>
  <si>
    <t>Realignment 1 Sales Tax to Public Health</t>
  </si>
  <si>
    <t>0002697480</t>
  </si>
  <si>
    <t>ITACCS2602</t>
  </si>
  <si>
    <t>FY25-26 Worker's Compensation Rate Development July P1</t>
  </si>
  <si>
    <t>RCIT Enterprise Services August 2025
M.O. 3.12, 1-14-2025</t>
  </si>
  <si>
    <t>FY2026 August RCIT Service</t>
  </si>
  <si>
    <t>s-63</t>
  </si>
  <si>
    <t>AP02699383</t>
  </si>
  <si>
    <t>AP02699382</t>
  </si>
  <si>
    <t>FY26 Mental Health issued 51 warrants ranging from $16.30 to $492,526.22</t>
  </si>
  <si>
    <t>FY26 Mental Health issued 66 warrants ranging from $21.08 to $486,552.71</t>
  </si>
  <si>
    <t>AR02699232</t>
  </si>
  <si>
    <t>Sheriff Department contractual revenue from City of Coachella, Fitzhenry Funeral Home, and Trident Society. SHARC TCR #s 68874 and 68876</t>
  </si>
  <si>
    <t>0002696691</t>
  </si>
  <si>
    <t>PSAF - 1/2% Sales Tax Distribution July 2025.</t>
  </si>
  <si>
    <t>PSAF - June 2025 and July 2025</t>
  </si>
  <si>
    <t>0002695443</t>
  </si>
  <si>
    <t>FY2526 Arlington unfunded cost and MC
BH DX transfer to Medical Center - July
2025</t>
  </si>
  <si>
    <t>FY26 Mental Health Transfer to Medical Center - July</t>
  </si>
  <si>
    <t>t-63</t>
  </si>
  <si>
    <t>AR02699650</t>
  </si>
  <si>
    <t>AR02699651</t>
  </si>
  <si>
    <t>Sheriff Department contractual revenue from City of La Quinta, Department of State Hospitals, U.S Marshals and US Marshals Service. SHARC TCR #s 68871,68872,68878 and 68879</t>
  </si>
  <si>
    <t>Sheriff Department contractual revenue from City of Moreno Valley and Wiefels Son - P.S . SHARC TCR #s 68884 and 68886</t>
  </si>
  <si>
    <t>u-63</t>
  </si>
  <si>
    <t>AP02700574</t>
  </si>
  <si>
    <t>AP02700575</t>
  </si>
  <si>
    <t>AR02700394</t>
  </si>
  <si>
    <t>FY26 Mental Health issued 63 warrants ranging from $63.42 to $448,447.07</t>
  </si>
  <si>
    <t>FY26 Mental Health issued 21 warrants ranging from $32.14 to $293,253.67</t>
  </si>
  <si>
    <t>118301/ 118501/118601</t>
  </si>
  <si>
    <t>Sheriff Department contractual revenue from City of Lake Elsinore, City of Palm Dessert, City of San Jacinto Police Department, Department of Justice - Office of Victims : Enhanced Collaborative Model Task Force, High Intensity Drug Trafficking Areas Task Force , Inland Regional Child Explotation and Soboba Band of Luiseno . SHARC TCR #s 68908, 68911, 68912, 68913, 68915, 68916 &amp; 68917</t>
  </si>
  <si>
    <t>V-63</t>
  </si>
  <si>
    <t>AP02701096</t>
  </si>
  <si>
    <t>AR02700914</t>
  </si>
  <si>
    <t>0002700724</t>
  </si>
  <si>
    <t>0002699220</t>
  </si>
  <si>
    <t>0002699060</t>
  </si>
  <si>
    <t>0002700684</t>
  </si>
  <si>
    <t>Reclass Gen Fund Expenses to AB109 Fund 11167 FY24/25 April-June 2025</t>
  </si>
  <si>
    <t>DHS Drug sales 340b and Discharge Pharm FY 2024/2025</t>
  </si>
  <si>
    <t>GF Contribution to OED
4th Quarter
FY 24/25</t>
  </si>
  <si>
    <t>FY26 Mental Health issued 33 warrants ranging from $17.58 to $900,351.83</t>
  </si>
  <si>
    <t>118301/118501/118601</t>
  </si>
  <si>
    <t>FY25 4th Quarter</t>
  </si>
  <si>
    <t>DHS Srug Sales/Discharge Pharm</t>
  </si>
  <si>
    <t>FY 2024/2025</t>
  </si>
  <si>
    <t>Sheriff Department contractual revenue from City of Perris, City of Temecula, Federal Bureau of Investigations &amp; Perris Union Highschool D. SHARC TCR #s 68905, 68909,  &amp; 68910</t>
  </si>
  <si>
    <t>FY25 PP16</t>
  </si>
  <si>
    <t>v-63</t>
  </si>
  <si>
    <t>w-63</t>
  </si>
  <si>
    <t>AP02701720</t>
  </si>
  <si>
    <t>AP02701721</t>
  </si>
  <si>
    <t>AR02701543</t>
  </si>
  <si>
    <t>0002698866</t>
  </si>
  <si>
    <t>0002700657</t>
  </si>
  <si>
    <t>GL FY24-25 CY SEC SS3-Old Year</t>
  </si>
  <si>
    <t>CalSAWS - Oasis JE for 08/11/2025</t>
  </si>
  <si>
    <t>FY26 Mental Health issued 60 warrants ranging from $11.14 to $854,958</t>
  </si>
  <si>
    <t>FY26 Mental Health issued 36 warrants ranging from $16.55 to $470,368.32</t>
  </si>
  <si>
    <t>Property Tax Apportionment - CY Secured</t>
  </si>
  <si>
    <t>FY25 Secured Collection 3 - CY UNS UC3</t>
  </si>
  <si>
    <t>700020/732200/733020/770020/770090//770100/772830/777310/781240</t>
  </si>
  <si>
    <t>Sheriff Department contractual revenue from Alcohol, Tobacco,Firears,#21- LAX-086-ATF, City of Coachella, City of Eastvale, Corona-Norco unified School Distr., Corona-Norco Unififed School District, Jurupa Community Services District, Mt. San Jacinto Community College and Weaver Mortuary. SHARC TCR #s 68943,68945, 68949-68951</t>
  </si>
  <si>
    <t>x-63</t>
  </si>
  <si>
    <t>AP02702150</t>
  </si>
  <si>
    <t>AP02702063</t>
  </si>
  <si>
    <t>AP02702151</t>
  </si>
  <si>
    <t>AP02702175</t>
  </si>
  <si>
    <t>AR02701953</t>
  </si>
  <si>
    <t>0002693244</t>
  </si>
  <si>
    <t>0002698017</t>
  </si>
  <si>
    <t>0002693261</t>
  </si>
  <si>
    <t>0002697630</t>
  </si>
  <si>
    <t>0002699980</t>
  </si>
  <si>
    <t>0002698672</t>
  </si>
  <si>
    <t>0002698668</t>
  </si>
  <si>
    <t>0002698670</t>
  </si>
  <si>
    <t>Recognize YOBG/JRG/JJRBG/JPA/JPF Revenues Q2 - Q4 FY2425</t>
  </si>
  <si>
    <t>Recognize Revenue for CCPIA FY2425</t>
  </si>
  <si>
    <t>Recognize AB109 Revenues for Probation and PACT for period May/June 2025 FY2425</t>
  </si>
  <si>
    <t>GL FY 24-25 PY UNS-Old Year</t>
  </si>
  <si>
    <t>GL FY 24-25 PY SUP June- Old Year</t>
  </si>
  <si>
    <t>FY26 Mental Health issued 72 warrants ranging from $18.14 to $1,688,573.30. Multiple payments totaling $8,105,507.65 were made to MFI Recovery in the amounts of $1,688,573.30, $1,674,246.66, $1,613,496.74, $1,576,476.29, and $1,552,714.66 via MHARC V#s 00341443, 000341457, 00341458, 00341459, 00342220, and 00342241.</t>
  </si>
  <si>
    <t>752403/755913/755929/755930/755931</t>
  </si>
  <si>
    <t>Probation Revenue</t>
  </si>
  <si>
    <t>YOBG, JRG, JJRBG, JPA, JPF Revenue for Qtrs 2-4</t>
  </si>
  <si>
    <t xml:space="preserve">Bi-Annually </t>
  </si>
  <si>
    <t>755928/755932</t>
  </si>
  <si>
    <t>FY25 May-June</t>
  </si>
  <si>
    <t>Property Tax Apportionment - Unsecured Prior Year</t>
  </si>
  <si>
    <t>FY25 Unsecured Collection 1 - PY UNS 1</t>
  </si>
  <si>
    <t>703000/732200/733000/733020/770100/772830</t>
  </si>
  <si>
    <t>FY26 Department of Public Social Services issued 6 warrants ranging from $200.84 to $5,852,407.21. $5,852,407.21 payment for August 2025 IHSS Health Benefits via DPARC V# 00213360.</t>
  </si>
  <si>
    <t xml:space="preserve">FY26 Mental Health issued 6 warrants ranging from $870.72 to $1,222,944.98. Two payments totaling $2,339,002.79 were paid to WCHS; $1,222,944.98 via MHARC V# 00341650 and $1,116,057.81 via MHARC V# 00341652. </t>
  </si>
  <si>
    <t>FY26 Registrar of Voters issued payment to Dominion Voting Systems via RVARC V# 00057044.</t>
  </si>
  <si>
    <t>523660/532690</t>
  </si>
  <si>
    <t>FY26 Department of Public Health State revenue for the Future of Publich Health via HSARC TCR# 134904.</t>
  </si>
  <si>
    <t>FY25 PY SUP Jun</t>
  </si>
  <si>
    <t>y-63</t>
  </si>
  <si>
    <t xml:space="preserve">   </t>
  </si>
  <si>
    <t>AP02702429</t>
  </si>
  <si>
    <t>AP02702367</t>
  </si>
  <si>
    <t>FY26 Mental Health issued 23 warrants ranging from $22.01 to $354,240.72</t>
  </si>
  <si>
    <t>FY26 Executive Office issued 14 warrants ranging from $921.60 to 500,000.00</t>
  </si>
  <si>
    <t>Executive Office Expense</t>
  </si>
  <si>
    <t>AR02702271</t>
  </si>
  <si>
    <t>AR02702270</t>
  </si>
  <si>
    <t>Sheriff Department contractual revenue from Acheson &amp; Graham Garden of Prayer, City of San Jacinto, San Bernardino County Sheriff-Coroner, San Jacinto Unified School District and San Jacinto Valley Academy. SHARC TCR #s 68962 and 68963</t>
  </si>
  <si>
    <t>0002700203</t>
  </si>
  <si>
    <t>0002700184</t>
  </si>
  <si>
    <t>0002700372</t>
  </si>
  <si>
    <t>ONL MISP Realignment FY25</t>
  </si>
  <si>
    <t>FY25 MISP Realignment &amp; Accrual</t>
  </si>
  <si>
    <t>FY26 Department of Publich Health received 7 payments ranging from $from .01 to $4,497,179.06 from The State of California for Emergency Preparedness. HSARC TCR#134905</t>
  </si>
  <si>
    <t>z-63</t>
  </si>
  <si>
    <t>0002700685</t>
  </si>
  <si>
    <t>0002691296</t>
  </si>
  <si>
    <t>0002701208</t>
  </si>
  <si>
    <t>0002693769</t>
  </si>
  <si>
    <t>0002699939</t>
  </si>
  <si>
    <t>FY 24/25 June 2025 Final Tax Fund Transfer
Processed by Maria Moreno 951.940.6359</t>
  </si>
  <si>
    <t>Recognize JJCPA Revenues for FY2425  Q2- Q4</t>
  </si>
  <si>
    <t>To reclass expenses from sub-funds and reclassify revenue FY24/25 Closing Entries</t>
  </si>
  <si>
    <t>Recognize Title IV E Revenues FY2425</t>
  </si>
  <si>
    <t>GL Export: 08/06/2025 Business Date</t>
  </si>
  <si>
    <t>JJCPA</t>
  </si>
  <si>
    <t>Assessor Sub-Funds Reclass</t>
  </si>
  <si>
    <t>575200/575800/574900/575000/575100</t>
  </si>
  <si>
    <t>Annual</t>
  </si>
  <si>
    <t>Probation Title IVE Revenue</t>
  </si>
  <si>
    <t>August 2025 Export</t>
  </si>
  <si>
    <t>713000/770010/770080/770090/777510/781080</t>
  </si>
  <si>
    <t>FMPEO25002</t>
  </si>
  <si>
    <t>0002698861</t>
  </si>
  <si>
    <t>Correction to EO project 10196.</t>
  </si>
  <si>
    <t>Adjusting JE
Transfer of Matured Financing to CIP
FY 24/25</t>
  </si>
  <si>
    <t>Correction - GSA USDC Courtroom AV upgrade project</t>
  </si>
  <si>
    <t>Adjustin JE transfer of Matured Financing to CIP FY24/25</t>
  </si>
  <si>
    <t>a-64</t>
  </si>
  <si>
    <t>0002700763</t>
  </si>
  <si>
    <t>0002700876</t>
  </si>
  <si>
    <t>ACOGAD2940</t>
  </si>
  <si>
    <t>FY2425 YE Funding NCC</t>
  </si>
  <si>
    <t>FY 2425 HR Admin OH charge for administrative oversight of HR Subfunds.</t>
  </si>
  <si>
    <t>FY25 Year End Cash Adj.</t>
  </si>
  <si>
    <t>Year End Net County Cost Funding</t>
  </si>
  <si>
    <t>FY25 YE Net County Cost Funding</t>
  </si>
  <si>
    <t>751040/755900/755926</t>
  </si>
  <si>
    <t>HR Admin Revenue</t>
  </si>
  <si>
    <t>FY25</t>
  </si>
  <si>
    <t>777520/778280</t>
  </si>
  <si>
    <t>FY25 Year End Cash Adj</t>
  </si>
  <si>
    <t>ACRGAD2940</t>
  </si>
  <si>
    <t>Reversal of FY25 Year End Cash Adj. ACOGAD2940</t>
  </si>
  <si>
    <t>b-64</t>
  </si>
  <si>
    <t>0002701211</t>
  </si>
  <si>
    <t>To charge remaining admin allocation expense (FY24/25 Admin Allocations)</t>
  </si>
  <si>
    <t>Assesor YE Closing Entries</t>
  </si>
  <si>
    <t>Assesor Interfund Transfer. FY24/25 Admin Allocations.</t>
  </si>
  <si>
    <t>0002701266</t>
  </si>
  <si>
    <t>This transaction adjusts the Protective Services Local Revenue Fund 2011 deferred revenue / General Fund revenue posted on RIVCO 0002696151 dated 06/30/25</t>
  </si>
  <si>
    <t>c-64</t>
  </si>
  <si>
    <t>AR02703969</t>
  </si>
  <si>
    <t>Sheriff Department contractual revenue from City of Temecula. SHARC TCR# 68972</t>
  </si>
  <si>
    <t>0002700882</t>
  </si>
  <si>
    <t>Recognize Revenue for FY24/25 REMSA Maddy Funds</t>
  </si>
  <si>
    <t>Emergency Management YE revenue recognition for REMSA Maddy Funds</t>
  </si>
  <si>
    <t>Emergency Management Contra Revenue recognition</t>
  </si>
  <si>
    <t>FLT072026</t>
  </si>
  <si>
    <t>FY26 FLEET MONTHLY BILLING PER 1 JULY</t>
  </si>
  <si>
    <t>0002702879</t>
  </si>
  <si>
    <t>FY26 Fleet Services July 2025</t>
  </si>
  <si>
    <t>FY26 PP17</t>
  </si>
  <si>
    <t>0002697949</t>
  </si>
  <si>
    <t>Transfer General Fund balance to
BOS new established sub-funds 
for UCI Projects. 
BOS 3.87 ID#28259_07/29/25
FY2025</t>
  </si>
  <si>
    <t>General Fund Contributions to UCI Projects</t>
  </si>
  <si>
    <t>d-64</t>
  </si>
  <si>
    <t>0002702883</t>
  </si>
  <si>
    <t>0002702881</t>
  </si>
  <si>
    <t>e-64</t>
  </si>
  <si>
    <t>AR02705081</t>
  </si>
  <si>
    <t>0002701225</t>
  </si>
  <si>
    <t>0002697519</t>
  </si>
  <si>
    <t>0002701887</t>
  </si>
  <si>
    <t>0002699118</t>
  </si>
  <si>
    <t>Advance to Revenue-August 2025</t>
  </si>
  <si>
    <t>FY25-26 July Property Insurance Rate Development P1</t>
  </si>
  <si>
    <t>FY25-26 Aug - Worker's Compensation Rate Development P2</t>
  </si>
  <si>
    <t>FY25-26 General/Auto Liability Rate Development Aug P2</t>
  </si>
  <si>
    <t>750320/761020/76140</t>
  </si>
  <si>
    <t>FY26 Property Insurance Period 1</t>
  </si>
  <si>
    <t>FY26 Worker's Comp Period 2</t>
  </si>
  <si>
    <t>FY26 General/Auto Liability Insurance Period 2</t>
  </si>
  <si>
    <t xml:space="preserve">FY26 Department of Public Health Revenue.  $3,023,000.12 received from CDC Infrastructure, Workforce and Systems HSARC TCR#134915.  </t>
  </si>
  <si>
    <t>FY26 Worker's Comp Period 1</t>
  </si>
  <si>
    <t>FY26 General/Auto Liability Insurance Period 1</t>
  </si>
  <si>
    <t>f-64</t>
  </si>
  <si>
    <t>FMCUST0995</t>
  </si>
  <si>
    <t>0002703372</t>
  </si>
  <si>
    <t>FMMAIN1230</t>
  </si>
  <si>
    <t>FMREAL0806</t>
  </si>
  <si>
    <t>CUST Services Aug 2025</t>
  </si>
  <si>
    <t>RCRMC PAYOR AUGUST 25/26</t>
  </si>
  <si>
    <t>MAINT Other Aug 2025</t>
  </si>
  <si>
    <t>0925 Payable Lease</t>
  </si>
  <si>
    <t>FY2026 August Custodial Services</t>
  </si>
  <si>
    <t>FY2026 August Maintenance</t>
  </si>
  <si>
    <t>FY26 August 2025</t>
  </si>
  <si>
    <t>g-64</t>
  </si>
  <si>
    <t>AR02705843</t>
  </si>
  <si>
    <t>AR02705835</t>
  </si>
  <si>
    <t>0002701925</t>
  </si>
  <si>
    <t>FY25-26 Aug Property Insurance Rate Development P2</t>
  </si>
  <si>
    <t>Auditor-Controller's Office - State Board of Equalization Local Sales Tax Revenue via ACARC TCR# 41201</t>
  </si>
  <si>
    <t>112100/118301/118601</t>
  </si>
  <si>
    <t>Sheriff Department contractual revenue from the FBI JTTF, Morongo Band of Mission Indians, State of California - Office of Traffic, The Cremation Place, and Tulip Cremation.</t>
  </si>
  <si>
    <t>FY26 Property Insurance Period 2</t>
  </si>
  <si>
    <t>h-64</t>
  </si>
  <si>
    <t>AR02706197</t>
  </si>
  <si>
    <t>FY26 Auditor-Controller's Office State Revenue ftom VLF realignment. ACARC TCR# 41209</t>
  </si>
  <si>
    <t>0002703445</t>
  </si>
  <si>
    <t>0002699589</t>
  </si>
  <si>
    <t>Monrthly</t>
  </si>
  <si>
    <t>General Fund Contribution to Establish New Sub-Funds</t>
  </si>
  <si>
    <t>General Fund Contribution to Establish New Sub Funds</t>
  </si>
  <si>
    <t>Transfer General Fund balance to BOS new established sub-funds for UCI Projects. BOS 3.87 ID#28259_07/29/25 FY2026</t>
  </si>
  <si>
    <t>i-64</t>
  </si>
  <si>
    <t>AR02706526</t>
  </si>
  <si>
    <t>AR02706590</t>
  </si>
  <si>
    <t>112100/118401</t>
  </si>
  <si>
    <t>FY26 Mental Health State Revenue for Medical Programs:  MCHIP IGT and Short/Doyle . Mharc tcr # 13103</t>
  </si>
  <si>
    <t>751401/751600/767181/767185</t>
  </si>
  <si>
    <t>FY26 Department of Public Health State Revenue. HSARC TCR# 134920</t>
  </si>
  <si>
    <t>j-64</t>
  </si>
  <si>
    <t>0002705771</t>
  </si>
  <si>
    <t>0002706511</t>
  </si>
  <si>
    <t>0002705772</t>
  </si>
  <si>
    <t>0002705778</t>
  </si>
  <si>
    <t>PSAF - 1/2% Sales Tax Distribution August 2025.</t>
  </si>
  <si>
    <t>Realignment 2 - Transfer August 2025 Sales Tax, State Hospital Offset and Managed Care Offset from Mental Health sub-fund deferred revenue account to GF operating account.</t>
  </si>
  <si>
    <t>Trial Court Security for August 2025.</t>
  </si>
  <si>
    <t>PSAF - August 2025</t>
  </si>
  <si>
    <t>Semi- Annually</t>
  </si>
  <si>
    <t>Realignment 2 - August 2025</t>
  </si>
  <si>
    <t>0002706906</t>
  </si>
  <si>
    <t>CalSAWS - Oasis JE for 09/02/2025</t>
  </si>
  <si>
    <t>k-64</t>
  </si>
  <si>
    <t>0002705790</t>
  </si>
  <si>
    <t>0002705797</t>
  </si>
  <si>
    <t>0002705795</t>
  </si>
  <si>
    <t>0002706964</t>
  </si>
  <si>
    <t>Recognize Jul &amp; Aug 2025 AB109 Revenues</t>
  </si>
  <si>
    <t>FY26 July-August</t>
  </si>
  <si>
    <t>0002704283</t>
  </si>
  <si>
    <t>0002705781</t>
  </si>
  <si>
    <t>FY2526 Arlington unfunded cost and MC
BH DX transfer to Medical Center - August 
2025</t>
  </si>
  <si>
    <t>CalSAWS - Oasis JE for 08/27/2025</t>
  </si>
  <si>
    <t>FY26 Mental Health Transfer to Medical Center - August</t>
  </si>
  <si>
    <t>*add amount manually from Simpler for GF 10000 only</t>
  </si>
  <si>
    <t>l-64</t>
  </si>
  <si>
    <t>AP02708173</t>
  </si>
  <si>
    <t>Sheriff Department issued 183 warrants. Amounts of warrants range from $8.77 to $1,316,265.53 $1.3 mil payment for Vincor Construction. SHARC Voucher# 606870</t>
  </si>
  <si>
    <t>m-64</t>
  </si>
  <si>
    <t>AR02708344</t>
  </si>
  <si>
    <t>0002705805</t>
  </si>
  <si>
    <t>0002706890</t>
  </si>
  <si>
    <t>0002706886</t>
  </si>
  <si>
    <t>0002706141</t>
  </si>
  <si>
    <t>Sheriff Department contractual revenue from City of Eastvale, City of Jurupa Valley, City of Norco, Jurupa Community Services D., &amp; Jurupa USD. SHARC TCR # 69129</t>
  </si>
  <si>
    <t>FY26 PP18</t>
  </si>
  <si>
    <t>CalSAWS - Oasis JE for 08/28/2025</t>
  </si>
  <si>
    <t>n-64</t>
  </si>
  <si>
    <t>AR02708727</t>
  </si>
  <si>
    <t>AR02708745</t>
  </si>
  <si>
    <t>City Revenue Sharing - Neutrality</t>
  </si>
  <si>
    <t>0002708309</t>
  </si>
  <si>
    <t>Adjusts YTD redistribution of 1991 Realignment between Dept IDs 5100100000-5100300000 and adjusts the 2011 Realignment deferred revenue / General Fund revenue posted on RIVCO 0002696151 &amp;RIVCO 0002701266 dated 06/30/25 (Ref: FY25/FY26 CAJE026 JEs).</t>
  </si>
  <si>
    <t>FMCUST0996</t>
  </si>
  <si>
    <t>FMMAIN1231</t>
  </si>
  <si>
    <t>0002706888</t>
  </si>
  <si>
    <t>CUST Services Sept 2025</t>
  </si>
  <si>
    <t>MAINT Other Sept 2025</t>
  </si>
  <si>
    <t>FY2026 September Custodial Services</t>
  </si>
  <si>
    <t>FY2026 September Maintenance</t>
  </si>
  <si>
    <t>521300 - 522385</t>
  </si>
  <si>
    <t>Sheriff Department Revenue from City of Indido, City of Perris, Ritchie Bros. Auctions, and Southern California Edison. SHARC TCR #s 69138 and 69139.</t>
  </si>
  <si>
    <t>City revenue sharing - Net Neutrality. City of Jurupa Valley. EOARC TCR# 13696</t>
  </si>
  <si>
    <t>o-64</t>
  </si>
  <si>
    <t>AP02709192</t>
  </si>
  <si>
    <t>AP02709273</t>
  </si>
  <si>
    <t>FY26 Department of Public Social Services issued 2 warrants ranging from $4,875 to $5,520,283.89. $5.5mil payment for September 2025 IHSS Health Benefits via DPARC V# 00213849.</t>
  </si>
  <si>
    <t>FY26 Mental Health issued 24 warrants ranging from $517.50 to $324,935.39.</t>
  </si>
  <si>
    <t>p-64</t>
  </si>
  <si>
    <t>AR02709471</t>
  </si>
  <si>
    <t>AR02709451</t>
  </si>
  <si>
    <t>FLT082026</t>
  </si>
  <si>
    <t>FY26 FLEET MONTHLY BILLING PER 2 AUGUST</t>
  </si>
  <si>
    <t>Mental Health - State Revenue. $1,026,802 received for SAMHSA-SAPT FY25 Q4 . MHARC TCR# 13109.</t>
  </si>
  <si>
    <t>FY26 Fleet Services August 2025</t>
  </si>
  <si>
    <t>q-64</t>
  </si>
  <si>
    <t>AP02709896</t>
  </si>
  <si>
    <t>AP02709897</t>
  </si>
  <si>
    <t>The Exceutive Office issued 8 warrants ranging from $800.00 to $6,241,447.00. $6.2 million paid to the State Treasuer's Office for the quarterly Maintenence of Effort (MOE) payment and $1.2 million to the City of Riverside for March Joint Powers Authority (JPA) sales tax sharing agreement. Vouchers EOARC 00053169 and 00053173 respectively.</t>
  </si>
  <si>
    <t>The Exceutive Office issued 6 warrants ranging form $54.36 to $1,691,171.00. $1.69 million to the City of Moreno Valley and $1.27 million to the City of Perris. Both payments for the March Joint Powers Authority sales tax sharing agreement. Vouchers EOARC 00053174 00053172 respectively.</t>
  </si>
  <si>
    <t>Bi-Annulaly</t>
  </si>
  <si>
    <t>Executive Office JPA Revenue Sharing Agreement City of Moreno Valley and City of Perris</t>
  </si>
  <si>
    <t>FY25 4th Qtr/ Executive Office JPA Revenue Sharing Agreement City of Riverside</t>
  </si>
  <si>
    <t>AR02709783</t>
  </si>
  <si>
    <t>0002709373</t>
  </si>
  <si>
    <t>0002709375</t>
  </si>
  <si>
    <t>Lines 1 through 4 are to reverse CAJE 028, Schedule G Due to Other Governments and have GF transfer cash to fund 65900. Lines 5 through 10 are to reverse AR02698876, as the GF will make payment to State.</t>
  </si>
  <si>
    <t>TCR ACARC 41049 Seq 8 needs to be posted to 230201-11167-41002000000 per Ashraf Hana</t>
  </si>
  <si>
    <t>Riverside County Obligation to State Controller's Office</t>
  </si>
  <si>
    <t>Adjustment to realignment</t>
  </si>
  <si>
    <t>Realignment to VLF to Mental Health</t>
  </si>
  <si>
    <t>Sheriff Department Contractual Revenue from City of Lake Elsinore and IRAT. SHARC TCR# 69205 and 69206.</t>
  </si>
  <si>
    <t>Exceutive Office Courts and JPA Revenue Sharing Agreement</t>
  </si>
  <si>
    <t>r-64</t>
  </si>
  <si>
    <t>AR02710179</t>
  </si>
  <si>
    <t>Sheriff department contractual revenue from Acheson &amp; Graham Garden of Prayer, City of San Jacinto, Evans Brown, San Jacinto Unfified School District, and Trident Society. Sharc TCR #s 69200-69202</t>
  </si>
  <si>
    <t>ITACCS2603</t>
  </si>
  <si>
    <t>RCIT Enterprise Services September 2025
M.O. 3.12, 1-14-2025</t>
  </si>
  <si>
    <t>FY2026 September RCIT Service</t>
  </si>
  <si>
    <t>s-64</t>
  </si>
  <si>
    <t>AR02710597</t>
  </si>
  <si>
    <t>Sheriff Department returned 2 checks to the City of Jurupa via SHARC TCR 69212.</t>
  </si>
  <si>
    <t>t-64</t>
  </si>
  <si>
    <t>AR02711046</t>
  </si>
  <si>
    <t>0002709675</t>
  </si>
  <si>
    <t>ADVANCE TO REVENUE SEPT 2025</t>
  </si>
  <si>
    <t>0002709410</t>
  </si>
  <si>
    <t>0002710036</t>
  </si>
  <si>
    <t>0002710055</t>
  </si>
  <si>
    <t>0002709689</t>
  </si>
  <si>
    <t>0002710032</t>
  </si>
  <si>
    <t>FY25-26 Sept Property Insurance Rate Development P3</t>
  </si>
  <si>
    <t>FY25-26 Sept - Worker's Compensation Rate Development P3</t>
  </si>
  <si>
    <t>FY25-26 Sept General/Auto Liability Insurance</t>
  </si>
  <si>
    <t>FY26 Property Insurance Period 3</t>
  </si>
  <si>
    <t>FY26 PP19</t>
  </si>
  <si>
    <t>FY26 Worker's Comp Period 3</t>
  </si>
  <si>
    <t>FY26 General/Auto Liability Insurance Period 3</t>
  </si>
  <si>
    <t>FY26 Mental health state revenue - Short Doyle/Medi- CAL, MCHIP, MCHIP IGT. MHARC TCR 13106</t>
  </si>
  <si>
    <t>u-64</t>
  </si>
  <si>
    <t>AP02711611</t>
  </si>
  <si>
    <t>FY26 Mental Health issued 12 warrants ranging from $440 to $442,367.65</t>
  </si>
  <si>
    <t>v-64</t>
  </si>
  <si>
    <t>AR02711786</t>
  </si>
  <si>
    <t>0002710039</t>
  </si>
  <si>
    <t>Flex Excess (BOS 3.23 6-25-19/MCU &amp; TENTATIVE AGRMNT 2019-2023/SEIU) PP19 PPE 09032025</t>
  </si>
  <si>
    <t>Payroll Tax Services Fees</t>
  </si>
  <si>
    <t>FY 2025 Fire Contractual Revenue Qtr 4.</t>
  </si>
  <si>
    <t>Fire Department contractual revenue from the City of Temecula FY24/25 4th Quarter $1,060,527.45 via FPARC TCR# 15330 and other various sources.</t>
  </si>
  <si>
    <t>w-64</t>
  </si>
  <si>
    <t>AR02712179</t>
  </si>
  <si>
    <t>AR02712211</t>
  </si>
  <si>
    <t>Sheriff Department Revenue from City of Palm Dessert. SHARC TCR # 69267</t>
  </si>
  <si>
    <t>732140/751401/767185/767200</t>
  </si>
  <si>
    <t>Mental Health - State Revenue. $1,531,728.03 received from Medi-Cal for Peri and Non-Peri services via MHARC TCR 13124.</t>
  </si>
  <si>
    <t>x-64</t>
  </si>
  <si>
    <t>AR02712663</t>
  </si>
  <si>
    <t>AR02712662</t>
  </si>
  <si>
    <t>AR02712674</t>
  </si>
  <si>
    <t>AR02712708</t>
  </si>
  <si>
    <t>00R2711720</t>
  </si>
  <si>
    <t>0002712108</t>
  </si>
  <si>
    <t>0002712560</t>
  </si>
  <si>
    <t>CAJE001-  Code Enforcement to draw down 2.6M from the Code Enforcement Cost Recovery Fund to cover revenue shortfall in the General Fund.</t>
  </si>
  <si>
    <t>July 2025 Court Fees and Fines Distribution
Details on file with Maria Perez @ 5-3821</t>
  </si>
  <si>
    <t>To transfer the Cash in previously Due to/from Other Funds (CAJE042) per Board of
Supervisors Agenda Item 3.7 dated 9/22/25, Recommendation #2.</t>
  </si>
  <si>
    <t>FY25 July 2025</t>
  </si>
  <si>
    <t>Auditor-Controller's Office - State Board of Equalization Local Sales Tax Revenue via ACARC TCR# 41332</t>
  </si>
  <si>
    <t>TLARC</t>
  </si>
  <si>
    <t>TLMA - Code Enforcement</t>
  </si>
  <si>
    <t>998 Reversal Journal</t>
  </si>
  <si>
    <t>7730020,730040,731020/731060/731180/731200/731240/732140/774700/781360</t>
  </si>
  <si>
    <t>Sheriff Department Contractual Revenue from City of Eastvale, City of La Quinta, Green Acres Memorial Park, Miller Jones Mortuary, Montecito Memorial Park,  Riverside PD, Riverside Sheriff's Association. SHARC TCR #s: 69270,69271,69274 and 69276.</t>
  </si>
  <si>
    <t>Sheriff Department Contractual Revenue from City of Jurupa Valley and Jurupa Community Svcs District. SHARC TCR # 69261</t>
  </si>
  <si>
    <t>Department of Public Health State Revenue. $10,073,158.73 State Revenue via HSARC TCR# 134937.</t>
  </si>
  <si>
    <t>751210/751680/762040/767220/770970/774010/774020/777460</t>
  </si>
  <si>
    <t>Court Fees &amp; Fines Distribution</t>
  </si>
  <si>
    <t>y-64</t>
  </si>
  <si>
    <t>AR02713205</t>
  </si>
  <si>
    <t>AR02713204</t>
  </si>
  <si>
    <t>0002710963</t>
  </si>
  <si>
    <t>0002710508</t>
  </si>
  <si>
    <t>0002710973</t>
  </si>
  <si>
    <t>FMREAL0809</t>
  </si>
  <si>
    <t>0002710034</t>
  </si>
  <si>
    <t>1025 Payable Lease</t>
  </si>
  <si>
    <t>732140/767210</t>
  </si>
  <si>
    <t>Mental Health State Revenue for SAMHSA-SAPT ARPA for FY2324 Q4 via MHARC TCR# 13131.</t>
  </si>
  <si>
    <t xml:space="preserve">FY26 Mental Health State Revenue - Mcal FFP, SGF,&amp;  IGT via MHARC TCR# 13120. </t>
  </si>
  <si>
    <t>751600/767181</t>
  </si>
  <si>
    <t>FY2026 October Lease</t>
  </si>
  <si>
    <t>FY2025 April Lease</t>
  </si>
  <si>
    <t>FY2025 May Lease</t>
  </si>
  <si>
    <t>z-64</t>
  </si>
  <si>
    <t>AP02713780</t>
  </si>
  <si>
    <t>Sheriff department issued 166 warrants ranging from $12.51 to $441,409.96.</t>
  </si>
  <si>
    <t>AR02713616</t>
  </si>
  <si>
    <t>AR02713604</t>
  </si>
  <si>
    <t>AR02713606</t>
  </si>
  <si>
    <t>FY26 Department of Public Health - State Revenue. HSARC TCR# 134946.</t>
  </si>
  <si>
    <t>Fire Department - Fire Protection Revenue Q4 FY25 from City of Palm Desert FPARC TCR# 15343</t>
  </si>
  <si>
    <t>230100/779250</t>
  </si>
  <si>
    <t>230100/779170</t>
  </si>
  <si>
    <t>Fire Department - Fire Protection Revenue Q4 FY25 from City of Moreno Valley FPARC TCR# 15350</t>
  </si>
  <si>
    <t>a-65</t>
  </si>
  <si>
    <t>AR02713940</t>
  </si>
  <si>
    <t>FY26 Auditor-Controller's Office State Revenue from VLF realignment. ACARC TCR# 41344</t>
  </si>
  <si>
    <t>FY26 September 2025</t>
  </si>
  <si>
    <t>0002711005</t>
  </si>
  <si>
    <t>0002711683</t>
  </si>
  <si>
    <t>RCRMC PAYOR SEPTEMBER 25/26</t>
  </si>
  <si>
    <t>FY26 ASeptember 2025</t>
  </si>
  <si>
    <t>b-65</t>
  </si>
  <si>
    <t>AR02714465</t>
  </si>
  <si>
    <t>AR02714490</t>
  </si>
  <si>
    <t>AR02714466</t>
  </si>
  <si>
    <t>AR02714491</t>
  </si>
  <si>
    <t>230129/732410/750920/767182/775520/775540</t>
  </si>
  <si>
    <t>Fire Department - Fire Protection Contractual Revenue received from City of Coachella  for Q4 FY25. FPARC TCR# 15345</t>
  </si>
  <si>
    <t>INTQ425ACC</t>
  </si>
  <si>
    <t>0002714279</t>
  </si>
  <si>
    <t>0002710544</t>
  </si>
  <si>
    <t>0002711012</t>
  </si>
  <si>
    <t>0002710476</t>
  </si>
  <si>
    <t>Q4 2025 INT ACCSH</t>
  </si>
  <si>
    <t>FY2425 AB109 Remaining budgeted balance Q4</t>
  </si>
  <si>
    <t>ADMIN FEE CHARGE FOR THE 1ST QTR 7/1/2025-9/30/2025 FY 25/26</t>
  </si>
  <si>
    <t>FY25 4th Qtr Accrual</t>
  </si>
  <si>
    <t>FY26 1st Qtr.</t>
  </si>
  <si>
    <t>FY26 PP20</t>
  </si>
  <si>
    <t>Mental Health - State Revenue for Medi-CAL programs. MHARC TCR# 13135</t>
  </si>
  <si>
    <t>Fire Department - Fire Protection Contractual Revenue from the Cities of Eastvale, Norco, and Riverside, and the Superior court of CA. FPARC TCR# 15348</t>
  </si>
  <si>
    <t>Mental Health - State Revenue. $13,379,569.26 received for Medi-Cal SGF, FFP, IGT and Non-Perinatal programs via MHARC TCR# 13137.</t>
  </si>
  <si>
    <t>c-65</t>
  </si>
  <si>
    <t>AP02715157</t>
  </si>
  <si>
    <t>AR02714937</t>
  </si>
  <si>
    <t>AR02714966</t>
  </si>
  <si>
    <t>0002712623</t>
  </si>
  <si>
    <t>0002713122</t>
  </si>
  <si>
    <t>0002713127</t>
  </si>
  <si>
    <t>0002713123</t>
  </si>
  <si>
    <t>0002714305</t>
  </si>
  <si>
    <t>0002713130</t>
  </si>
  <si>
    <t>0002713128</t>
  </si>
  <si>
    <t>0002713853</t>
  </si>
  <si>
    <t>0002713854</t>
  </si>
  <si>
    <t>PSAF - 1/2% Sales Tax Distribution Sept 2025.</t>
  </si>
  <si>
    <t>New Allocation. Realignment 1 - Transfer September 2025 Realignment Revenue for Sales Tax to Soc. Services - GF Operating Accounts.</t>
  </si>
  <si>
    <t>Realignment 2 - Transfer Sept 2025 Sales Tax, State Hospital Offset and Managed Care Offset from Mental Health sub-fund deferred revenue account to GF operating account.</t>
  </si>
  <si>
    <t>This transaction shifts funding to and from FY2425 Mental Health STax Base for the SCO's 1991 Realignment FY2425 Allocation to Base reconciliation on ACARC 41209 dated 8-28-25.</t>
  </si>
  <si>
    <t>Trial Court Security for September 2025.</t>
  </si>
  <si>
    <t>Realignment - Transfer September 2025 Realignment Revenue for VLF to Public Health GF Operating Accounts.</t>
  </si>
  <si>
    <t>CalSAWS - Oasis JE for 09/26/2025</t>
  </si>
  <si>
    <t>CalSAWS - Oasis JE for 09/27/2025</t>
  </si>
  <si>
    <t>FY26 Mental Health issued 74 warrants ranging from $14.13 to $408,260.63.</t>
  </si>
  <si>
    <t xml:space="preserve">Emergency Management Dept. State Revenue. EMARC TCR# 7461. </t>
  </si>
  <si>
    <t>Registrar of Voters - Revenue received from State Controller's Office for November 2025 Special Election via RVARC TCR# 1419.</t>
  </si>
  <si>
    <t>PSAF - September 2025</t>
  </si>
  <si>
    <t>Realignment 1 - September 2025</t>
  </si>
  <si>
    <t>Realignment 2 - September 2025</t>
  </si>
  <si>
    <t>573100/750740</t>
  </si>
  <si>
    <t>September 2025</t>
  </si>
  <si>
    <t>Realignement - September 2025</t>
  </si>
  <si>
    <t>d-65</t>
  </si>
  <si>
    <t>0002711371</t>
  </si>
  <si>
    <t>0002710532</t>
  </si>
  <si>
    <t>0002710907</t>
  </si>
  <si>
    <t>FY2526 IEHP Reclass from Org to Dept ID - July 2025</t>
  </si>
  <si>
    <t>118300/118400/208145</t>
  </si>
  <si>
    <t>IEHP Reclass to ECM Outreach 07/2025</t>
  </si>
  <si>
    <t>0002713848</t>
  </si>
  <si>
    <t>FY2526 Arlington unfunded cost and MC
BH DX transfer to Medical Center - Sept
2025</t>
  </si>
  <si>
    <t>FY26 Mental Health Transfer to Medical Center - September</t>
  </si>
  <si>
    <t>e-65</t>
  </si>
  <si>
    <t>AR02715947</t>
  </si>
  <si>
    <t>AR02715946</t>
  </si>
  <si>
    <t>AR02715976</t>
  </si>
  <si>
    <t>0002714250</t>
  </si>
  <si>
    <t>0002714246</t>
  </si>
  <si>
    <t>0002714248</t>
  </si>
  <si>
    <t>Sheriff Department Revenue from City of Eastvale, City of Norco, Jurupa Comm Svcs District and Jurpa Unified SD. SHARC TCR # 69336</t>
  </si>
  <si>
    <t>73590/777060/781260/523290</t>
  </si>
  <si>
    <t>Sheriff Department Revenue from City of Jurupa Valley, City of Eastvale, Ciry of Norco, Jurupa Comm Svcs District, Jurupa USD, MWD Documents, Metro Reporting, Lexis Nexis, and RUFM OPCP LLC. SHARC TCR # 69332, 69334 and 69336</t>
  </si>
  <si>
    <t>Sheriff Department Revenue from City of Lake Elsinore. SHARC TCR # 69354</t>
  </si>
  <si>
    <t>f-65</t>
  </si>
  <si>
    <t>AR02716361</t>
  </si>
  <si>
    <t>AR02716362</t>
  </si>
  <si>
    <t>Fire Department - Fire Protection Contractual Revenue from the City of Menifee and City of Perris. FPARC TCR# 15372</t>
  </si>
  <si>
    <t>Fire Department - Fire Protection Contractual Revenue from the Cities of Banning, Rancho Mirage, Wildomar, the Mountain communitites, and multiple consumers. FPARC TCR# 15369</t>
  </si>
  <si>
    <t>g-65</t>
  </si>
  <si>
    <t>AP02716898</t>
  </si>
  <si>
    <t>AR02716721</t>
  </si>
  <si>
    <t>0002714273</t>
  </si>
  <si>
    <t>0002713903</t>
  </si>
  <si>
    <t>0002716223</t>
  </si>
  <si>
    <t>0002716243</t>
  </si>
  <si>
    <t>0002716226</t>
  </si>
  <si>
    <t>0002716246</t>
  </si>
  <si>
    <t>MHSA CSS Funding for FY2526 Q1</t>
  </si>
  <si>
    <t>FY 25/26 1st Quarter Admin Allocation</t>
  </si>
  <si>
    <t>2015A IFA LRB (2006A Capital Improv Projects)
FY 25-26 Annual Billing</t>
  </si>
  <si>
    <t>2021A IFA Bonds
FY 25-26 Annual Billing</t>
  </si>
  <si>
    <t>2017A IFA Bonds
FY 25-26 Annual Billing</t>
  </si>
  <si>
    <t>2021B IFA Bonds (2015 PFA Lease Revenue Refd)
FY 25-26 Annual Billing</t>
  </si>
  <si>
    <t>FY26 Mental Health issued 55 warrants ranging from $15.44 to $487,886</t>
  </si>
  <si>
    <t>MHSA Revenue FY26 Qtr. 1</t>
  </si>
  <si>
    <t>FY26 1st Qtr. Administration Allocation</t>
  </si>
  <si>
    <t>Debt Service (2007A, 2009, 2008A, 2015, 2015A, 1997A, 2012A)</t>
  </si>
  <si>
    <t>551100/781680/790600</t>
  </si>
  <si>
    <t>551100/572800/790600</t>
  </si>
  <si>
    <t>551100/790600</t>
  </si>
  <si>
    <t>551100/778200/790600</t>
  </si>
  <si>
    <t>Sheriff Department Revenue from Agua Caliente Band of Cahuilas Indians, Cities of Palm Dessert, Perris, and Rancho Mirrage, and Palm Spring USD and Perris Union HSD . SHARC TCR # 69347 and 69348</t>
  </si>
  <si>
    <t>h-65</t>
  </si>
  <si>
    <t>AR02717122</t>
  </si>
  <si>
    <t>0002714399</t>
  </si>
  <si>
    <t>Final FY25 4TH Qtr General Fund
Revenue Distribution</t>
  </si>
  <si>
    <t>Sheriff Department Contractual Revenue from the Cities of San Jacinto and Wildomar, and San Jacinto Unified School District and San Jacinto Valley Academy.</t>
  </si>
  <si>
    <t>FY25 4th Qtr Final</t>
  </si>
  <si>
    <t>i-65</t>
  </si>
  <si>
    <t>AR02717458</t>
  </si>
  <si>
    <t>Sheriff Department Contractual Revenue from the City of Moreno Valley, FBI-JTTF, IRAT, March Joint Powers Authority and Moreno Valley Unified School District.</t>
  </si>
  <si>
    <t>j-65</t>
  </si>
  <si>
    <t>AP02717998</t>
  </si>
  <si>
    <t>AP02717954</t>
  </si>
  <si>
    <t>AP02718113</t>
  </si>
  <si>
    <t>AP02718112</t>
  </si>
  <si>
    <t>AR02717918</t>
  </si>
  <si>
    <t>FY26 Assessor Clerk Recorder issued 9 warrants ranging from $7.39 to $3,940,202.61. $3.9mil payment for 1st Qtr SB2 Fee to State Controller's Office via ASARC Voucher# 00066038.</t>
  </si>
  <si>
    <t>FY26 Department of Public Social Services issued 3 warrants ranging from $2,200.40 to $5,847,658.36. $5.8mil payment for October 2025 IHSS Health Benefits via DPARC Voucher# 00214298.</t>
  </si>
  <si>
    <t>FY2026 1st Quarter</t>
  </si>
  <si>
    <t>Sheriff Department issued 22 warrants ranging from $6.82 to $1,472,230.16. $1.4mil payment to GST for the IT equipment via SHARC Voucher# 00613120.</t>
  </si>
  <si>
    <t>Sheriff Department issued 39 warrants ranging from $31.72 to $1,368,799.77. $1.3mil payment to Vincor Construction via SHARC Voucher# 00611518.</t>
  </si>
  <si>
    <t>FY26 Mental Health Revenue - Mcal  SD and SGF for multiple fiscal years totalling $52,887,959.96 via MHARC TCRs #13144, 13145, 13146 and 13147 respectively.</t>
  </si>
  <si>
    <t>k-65</t>
  </si>
  <si>
    <t>AP02718489</t>
  </si>
  <si>
    <t>0002716685</t>
  </si>
  <si>
    <t>FY24/25 COPS Growth Allocation from the months of March - August 2025 received on 10/7/25.</t>
  </si>
  <si>
    <t>FY26 Mental Health issued 43 warrants ranging from $9.78 to $576,561.35.</t>
  </si>
  <si>
    <t>COPS Growth Revenue</t>
  </si>
  <si>
    <t>l-65</t>
  </si>
  <si>
    <t>AR02718670</t>
  </si>
  <si>
    <t>Sheriff contractual revenue from the City of Moreno Valley. SHARC TCR # 69424</t>
  </si>
  <si>
    <t>m-65</t>
  </si>
  <si>
    <t>AR02719040</t>
  </si>
  <si>
    <t>Sheriff Department Contractual Revenue from Chaparral Highschool, City of Temecula, Great Oak Highschool, and Temecula Valley USD</t>
  </si>
  <si>
    <t>0002719038</t>
  </si>
  <si>
    <t>0002714253</t>
  </si>
  <si>
    <t>FMCUST0997</t>
  </si>
  <si>
    <t>FMMAIN1232</t>
  </si>
  <si>
    <t>n-65</t>
  </si>
  <si>
    <t>GL FY25-26 CY UNS UC1</t>
  </si>
  <si>
    <t>Flex Excess (BOS 3.23 6-25-19/MCU &amp; TENTATIVE AGRMNT 2019-2023/SEIU) PP20 PPE 09172025</t>
  </si>
  <si>
    <t>CUST Services Oct 2025</t>
  </si>
  <si>
    <t>MAINT Svcs Oct 2025</t>
  </si>
  <si>
    <t>FY26 Unsecured Collection 1 - CY UNS UC1</t>
  </si>
  <si>
    <t>FY2026 Octoberber Custodial Services</t>
  </si>
  <si>
    <t>FY2026 October Maintenance</t>
  </si>
  <si>
    <t>o-65</t>
  </si>
  <si>
    <t>FLT092026</t>
  </si>
  <si>
    <t>0002718137</t>
  </si>
  <si>
    <t>0002718139</t>
  </si>
  <si>
    <t>FY26 FLEET MONTHLY BILLING PER 3 SEPTEMBER</t>
  </si>
  <si>
    <t>FY26 Fleet Services Sepember 2025</t>
  </si>
  <si>
    <t>FY26 PP21</t>
  </si>
  <si>
    <t>p-65</t>
  </si>
  <si>
    <t>AR02720383</t>
  </si>
  <si>
    <t>AR02720354</t>
  </si>
  <si>
    <t>0002717843</t>
  </si>
  <si>
    <t>0002719643</t>
  </si>
  <si>
    <t>0002718141</t>
  </si>
  <si>
    <t>Advance to Revenue-October 2025</t>
  </si>
  <si>
    <t>RCRMC PAYOR OCTOBER 25/26</t>
  </si>
  <si>
    <t>FY26 TRANS Revenue via EOARC TCR 13716</t>
  </si>
  <si>
    <t>FY2026 Tax Anticipation Note Pay Req 2</t>
  </si>
  <si>
    <t>Sheriff Department Contractual Revenue from city of Coahcella, Dept. of Alcoholic Beverage, Dept. of State Hospitals, Montecito Memorial Park, and Pierce Brothers Crestlawn</t>
  </si>
  <si>
    <t>750320/750340/761020</t>
  </si>
  <si>
    <t>FY26 October 2025</t>
  </si>
  <si>
    <t>FY2026 Tax Anticipation Note Pay Req 1</t>
  </si>
  <si>
    <t>q-65</t>
  </si>
  <si>
    <t>AP02721016</t>
  </si>
  <si>
    <t>AP02721015</t>
  </si>
  <si>
    <t>AP02721069</t>
  </si>
  <si>
    <t>AR02720840</t>
  </si>
  <si>
    <t>0002720221</t>
  </si>
  <si>
    <t>0002720179</t>
  </si>
  <si>
    <t>0002720219</t>
  </si>
  <si>
    <t>ITACCS2604</t>
  </si>
  <si>
    <t>0002719309</t>
  </si>
  <si>
    <t>0002719669</t>
  </si>
  <si>
    <t>0002715270</t>
  </si>
  <si>
    <t>GL Export_FY24-25 CY SEC SS4_</t>
  </si>
  <si>
    <t>FY25-26 Oct Property Insurance</t>
  </si>
  <si>
    <t>FY25-26 Oct - Worker's Compensation</t>
  </si>
  <si>
    <t>RCIT Enterprise Services October 2025
M.O. 3.12, 1-14-2025</t>
  </si>
  <si>
    <t>FY2526 Arlington unfunded cost and MC
BH DX transfer to Medical Center - Oct
2025</t>
  </si>
  <si>
    <t>FY25-26 Oct General/Auto Liability Insurance</t>
  </si>
  <si>
    <t>CalSAWS - Oasis JE for 10/01/2025</t>
  </si>
  <si>
    <t>FY26 Mental Health issued 26 warrants ranging from $1,125.06 to $499,908.84.</t>
  </si>
  <si>
    <t>FY26 Mental Health issued 87 warrants ranging from $17.84 to $435,265.</t>
  </si>
  <si>
    <t>Sheriff Department issued 137 warrants ranging from $6.45 to $427,751.25.</t>
  </si>
  <si>
    <t>Emergency Management Department - State Revenue via EMARC TCR 7541.</t>
  </si>
  <si>
    <t>763500/767220/774510/777040</t>
  </si>
  <si>
    <t>FY24 Secured Teeter Settlement - CY SEC SS4</t>
  </si>
  <si>
    <t>700020/770100/772830/777310</t>
  </si>
  <si>
    <t>FY26 Property Insurance Period 4</t>
  </si>
  <si>
    <t>FY26 Worker's Comp Period 4</t>
  </si>
  <si>
    <t>FY2026 October RCIT Service</t>
  </si>
  <si>
    <t>FY26 Mental Health Transfer to Medical Center - October</t>
  </si>
  <si>
    <t>FY26 General/Auto Liability Insurance Period 4</t>
  </si>
  <si>
    <t>r-65</t>
  </si>
  <si>
    <t>AR02721150</t>
  </si>
  <si>
    <t>AR02721148</t>
  </si>
  <si>
    <t>762040/770970/774010/774020/776270/777460/781360</t>
  </si>
  <si>
    <t>FY26 Department of Public Health - State Revenue via HSARC TCR# 134964.</t>
  </si>
  <si>
    <t>Fire Department - Fire Protection Revenue from Cahuilla Band of Indians, City of Canyon Lake, City of San Jacinto, Pine Cove Water District, State of California, Superior Court of California, and multiple residents.</t>
  </si>
  <si>
    <t>s-65</t>
  </si>
  <si>
    <t>AP02721621</t>
  </si>
  <si>
    <t>AR02721477</t>
  </si>
  <si>
    <t>AR02721430</t>
  </si>
  <si>
    <t>AR02721420</t>
  </si>
  <si>
    <t>FY26 Mental Health issued 74 warrants ranging from $22.50 to $369,490.</t>
  </si>
  <si>
    <t>FY26 Mental Health State Revenue received for CalAIM Enhanced Care Management (ECM) services provided in September 2025 via MHARC TCR 13142.</t>
  </si>
  <si>
    <t>Auditor-Controller's Office - State Board of Equalization Local Sales Tax Revenue via ACARC TCR# 41473</t>
  </si>
  <si>
    <t>Sheriff Department Contractual Revenue from the City of Lake Elsinore.</t>
  </si>
  <si>
    <t>t-65</t>
  </si>
  <si>
    <t>AP02721962</t>
  </si>
  <si>
    <t>AP02722005</t>
  </si>
  <si>
    <t>0002718144</t>
  </si>
  <si>
    <t>FMREAL0813</t>
  </si>
  <si>
    <t>Flex Excess (BOS 3.23 6-25-19/MCU &amp; TENTATIVE AGRMNT 2019-2023/SEIU) PP21 PPE 10012025</t>
  </si>
  <si>
    <t>1125 Payable Lease</t>
  </si>
  <si>
    <t>Fire Department issued 103 warrants ranging from $122.30 to $995,286.</t>
  </si>
  <si>
    <t>Mental Health issued 40 warrants ranging from $7.50 to $404,520.25.</t>
  </si>
  <si>
    <t>FY2026 November Lease</t>
  </si>
  <si>
    <t>u-65</t>
  </si>
  <si>
    <t>AP02722401</t>
  </si>
  <si>
    <t>AR02722238</t>
  </si>
  <si>
    <t>AR02722187</t>
  </si>
  <si>
    <t>FY26 Department of Public Health - State Revenue. HSARC TCR# 134973</t>
  </si>
  <si>
    <t>523290/751680/770970/774010/774020/776270/777460</t>
  </si>
  <si>
    <t>FY26 Auditor-Controller's Office State Revenue from VLF realignment. ACARC TCR# 41478</t>
  </si>
  <si>
    <t>FY26 October 2026</t>
  </si>
  <si>
    <t xml:space="preserve">Mental Health issued 46 warrants ranging from $30.96 to $1,235,290.15. Voucher MHARC 00346098 for $1,235,290.15 to MFI Recovery Center </t>
  </si>
  <si>
    <t>v-65</t>
  </si>
  <si>
    <t>AP02722747</t>
  </si>
  <si>
    <t>AP02722699</t>
  </si>
  <si>
    <t>Mental Health issued 41 warrants ranging from $31.41 to $398,223.77.</t>
  </si>
  <si>
    <t>523750/524940/530440</t>
  </si>
  <si>
    <t>AR02722615</t>
  </si>
  <si>
    <t>AR02722626</t>
  </si>
  <si>
    <t>Emergency Management Department - State Revenue via EMARC TCR 7544.</t>
  </si>
  <si>
    <t>230100/741280/776500/777120/779040/779110</t>
  </si>
  <si>
    <t>Fire Department - Fire Protection Revenue. $5,352,430.76. FPARC TCR 15434  from City of Indio</t>
  </si>
  <si>
    <t>0002721778</t>
  </si>
  <si>
    <t>0002721784</t>
  </si>
  <si>
    <t>Realignment 2 - Transfer Oct 2025 Sales Tax, State Hospital Offset and Managed Care Offset from Mental Health sub-fund deferred revenue account to GF operating account.</t>
  </si>
  <si>
    <t>Trial Court Security for October 2025.</t>
  </si>
  <si>
    <t>Realignment 2 - October 2025</t>
  </si>
  <si>
    <t>FY26 Department of Public Social Services issued 5 warrants ranging from $3,055.60 to $800,000.00</t>
  </si>
  <si>
    <t>AP02723001</t>
  </si>
  <si>
    <t>AR02722882</t>
  </si>
  <si>
    <t>Mental Health issued 25 warrants ranging from $20.47 to $718,170.49</t>
  </si>
  <si>
    <t>Environmental Health Revenue via EHARC TCR 33263</t>
  </si>
  <si>
    <t>722020/722100/72601/726020/726040/726200/726260/726300/771870/774600/774610/774750/774770/774780/774820</t>
  </si>
  <si>
    <t>w-65</t>
  </si>
  <si>
    <t>Environmental Health Revenue - $1,579,493.74 via EHARC TCR 33045.</t>
  </si>
  <si>
    <t>x-65</t>
  </si>
  <si>
    <t>AP02723316</t>
  </si>
  <si>
    <t>AP02723281</t>
  </si>
  <si>
    <t>AR02723128</t>
  </si>
  <si>
    <t>0002720239</t>
  </si>
  <si>
    <t>0002720228</t>
  </si>
  <si>
    <t>0002721701</t>
  </si>
  <si>
    <t>0002721697</t>
  </si>
  <si>
    <t>0002722487</t>
  </si>
  <si>
    <t>0002721699</t>
  </si>
  <si>
    <t>CalSAWS - Oasis JE for 10/29/2025</t>
  </si>
  <si>
    <t>Mental Health issued 33 warrants ranging from $20.62 to $482,130.14</t>
  </si>
  <si>
    <t>Fire Department issued 1 warrant to city of Corona $1.6 mil for Fire Protection, Rescue and Ememergency Medical serivces.</t>
  </si>
  <si>
    <t>Sheriff Department Contractual Revenue from the City of Moreno Valley</t>
  </si>
  <si>
    <t>FY26 PP22</t>
  </si>
  <si>
    <t>AP02723646</t>
  </si>
  <si>
    <t>0002720195</t>
  </si>
  <si>
    <t>0002720196</t>
  </si>
  <si>
    <t>0002723393</t>
  </si>
  <si>
    <t>0002723426</t>
  </si>
  <si>
    <t>0002723404</t>
  </si>
  <si>
    <t>0002723413</t>
  </si>
  <si>
    <t>ITACCS2605</t>
  </si>
  <si>
    <t>0002723435</t>
  </si>
  <si>
    <t>0002723436</t>
  </si>
  <si>
    <t>0002723387</t>
  </si>
  <si>
    <t>0002723380</t>
  </si>
  <si>
    <t>0002723054</t>
  </si>
  <si>
    <t>0002723432</t>
  </si>
  <si>
    <t>RCRMC PAYOR NOVEMBER 25/26</t>
  </si>
  <si>
    <t>RCRMC PAYOR DECEMBER 25/26</t>
  </si>
  <si>
    <t>FY25-26 Nov Property Insurance</t>
  </si>
  <si>
    <t>FY25-26 Nov - Worker's Compensation</t>
  </si>
  <si>
    <t>FY2526 Arlington unfunded cost and MC
BH DX transfer to Medical Center - Nov
2025</t>
  </si>
  <si>
    <t>FY2526 Arlington unfunded cost and MC
BH DX transfer to Medical Center - Dec
2025</t>
  </si>
  <si>
    <t>FY25-26 Nov General/Auto Liability Insurance</t>
  </si>
  <si>
    <t>CalSAWS - Oasis JE for 11/03/2025</t>
  </si>
  <si>
    <t>CalSAWS - Oasis JE for 10/30/2025</t>
  </si>
  <si>
    <t>Mental Health issued 139 warrants ranging from $2.39 to $621,436.26</t>
  </si>
  <si>
    <t>FY26 November 2025</t>
  </si>
  <si>
    <t>FY26 December 2025</t>
  </si>
  <si>
    <t>FY26 Property Insurance Period 5</t>
  </si>
  <si>
    <t>FY26 Worker's Comp Period 5</t>
  </si>
  <si>
    <t>FY26 Mental Health Transfer to Medical Center - November</t>
  </si>
  <si>
    <t>FY26 Mental Health Transfer to Medical Center - December</t>
  </si>
  <si>
    <t>FY26 General/Auto Liability Insurance Period 5</t>
  </si>
  <si>
    <t>Reclass Payment received from Wellness</t>
  </si>
  <si>
    <t>Payment from wellness</t>
  </si>
  <si>
    <t>230100/230129/260106</t>
  </si>
  <si>
    <t>y-65</t>
  </si>
  <si>
    <t>z-65</t>
  </si>
  <si>
    <t>AP02723973</t>
  </si>
  <si>
    <t>AR02723840</t>
  </si>
  <si>
    <t>0002720311</t>
  </si>
  <si>
    <t>0002718214</t>
  </si>
  <si>
    <t>Mental Health issued 77 warrants ranging from $16.17 to $441,531.55</t>
  </si>
  <si>
    <t>525440/770970/774010/774020/774460</t>
  </si>
  <si>
    <t>FY26 Department of Public Health - State Revenue. HSARC TCR# 134983</t>
  </si>
  <si>
    <t>a-66</t>
  </si>
  <si>
    <t>AP02724233</t>
  </si>
  <si>
    <t>AR02724158</t>
  </si>
  <si>
    <t>0002721382</t>
  </si>
  <si>
    <t>0002721351</t>
  </si>
  <si>
    <t>0002723796</t>
  </si>
  <si>
    <t>0002723794</t>
  </si>
  <si>
    <t>Reclass Gen Fund Expenses to AB109 Fund 11167 FY24/25 June 25</t>
  </si>
  <si>
    <t>Sheriff's Department
Palm Desert Expansion DIF Billing
Invoice #8 BOS 3.91-6/27/23
October 2025</t>
  </si>
  <si>
    <t>FY26 Dept. of Public Social Services issued a warrant in the amount of $5,738,284.19 for the payment of November 2025 IHSS Health Benefits via DPARC Voucher# 00214777.</t>
  </si>
  <si>
    <t>Sheriff Department Contractual Revenue from Chaparral High School, the City of La Quinta, Great Oak High School, Murrieta Valley USD, Southern Coachella Valley, Superior Court of California and Temecula Valley High School.</t>
  </si>
  <si>
    <t>Executive Revenue to Sheriff's</t>
  </si>
  <si>
    <t>Palm Desert Expansion</t>
  </si>
  <si>
    <t>b-66</t>
  </si>
  <si>
    <t>AR02724471</t>
  </si>
  <si>
    <t>0002720289</t>
  </si>
  <si>
    <t>Redistributes remittances deposited to the Welfare</t>
  </si>
  <si>
    <t>Mental Health Expense</t>
  </si>
  <si>
    <t>Sheriff Department Contractual Revenue from the Cities of Eastvale and Jurupa Valley, Corona-Norco USD, Jurupa Community Services District, Jurupa USD, and LEAPS.</t>
  </si>
  <si>
    <t>c-66</t>
  </si>
  <si>
    <t>AP02724971</t>
  </si>
  <si>
    <t>Mental Health issued 41 warrants ranging from $21.74 to $493,464.35.</t>
  </si>
  <si>
    <t>d-66</t>
  </si>
  <si>
    <t>AR02725226</t>
  </si>
  <si>
    <t>AR02725230</t>
  </si>
  <si>
    <t>0002718228</t>
  </si>
  <si>
    <t>0002718224</t>
  </si>
  <si>
    <t>230100/779040/779180</t>
  </si>
  <si>
    <t>Fire Department - Fire Protection Contractual Revenue from the City of Beaumont.</t>
  </si>
  <si>
    <t>FY26 Department of Public Health - State Revenue via HSARC TCR# 134984.</t>
  </si>
  <si>
    <t>118300/118400/230141/530440</t>
  </si>
  <si>
    <t>e-66</t>
  </si>
  <si>
    <t>00R2723432</t>
  </si>
  <si>
    <t>0002725194</t>
  </si>
  <si>
    <t>0002725182</t>
  </si>
  <si>
    <t>FY26 Repayment of Advance to cover POB Advance to 35200</t>
  </si>
  <si>
    <t>FY26 Repayment of Advance to cover POB Advance to 35000 (full payment in advance)</t>
  </si>
  <si>
    <t>Revise Reclass Payment Received</t>
  </si>
  <si>
    <t>Mental Health Expense- Reversal</t>
  </si>
  <si>
    <t>f-66</t>
  </si>
  <si>
    <t>AR02725995</t>
  </si>
  <si>
    <t>Sheriff Department Contractual Revenue from the City of San Jacinto and San Jacinto Unified School District</t>
  </si>
  <si>
    <t>g-66</t>
  </si>
  <si>
    <t>0002725910</t>
  </si>
  <si>
    <t>0002725911</t>
  </si>
  <si>
    <t>0002725504</t>
  </si>
  <si>
    <t>0002725108</t>
  </si>
  <si>
    <t>0002725104</t>
  </si>
  <si>
    <t>PSAF - 1/2% Sales Tax Distribution Oct 2025.</t>
  </si>
  <si>
    <t>New Allocation. Realignment 1 - Transfer October 2025 Realignment Revenue for Sales Tax to Soc. Services - GF Operating Accounts.</t>
  </si>
  <si>
    <t>GL Export: 11/06/2025 Business Date</t>
  </si>
  <si>
    <t>PSAF - October 2025</t>
  </si>
  <si>
    <t>Realignment 1 - October 2025</t>
  </si>
  <si>
    <t>November 2025 Export</t>
  </si>
  <si>
    <t>FY26 PP23</t>
  </si>
  <si>
    <t>Other Miscellaneous Revenue</t>
  </si>
  <si>
    <t>h-66</t>
  </si>
  <si>
    <t>AR02726760</t>
  </si>
  <si>
    <t>0002721383</t>
  </si>
  <si>
    <t>0002724442</t>
  </si>
  <si>
    <t>FLT102026</t>
  </si>
  <si>
    <t>0002725106</t>
  </si>
  <si>
    <t>Reclass Gen Fund Expenses to AB109 Fund 11167 FY25/26 Jul - Sept 25</t>
  </si>
  <si>
    <t>Advance to Revenue Nov 2025</t>
  </si>
  <si>
    <t>FY26 FLEET MONTHLY BILLING PER 4 OCTOBER</t>
  </si>
  <si>
    <t>Sheriff Department Contractual Revenue from the City of Perris, FY23-24 Tobacco Grant Program, Hamilton School, Hemet USD, MT. San Jacinto Comm College, Nuview Union SD, Perris Union HSD, Ritchie Bros. Aucitons</t>
  </si>
  <si>
    <t>FY26 Fleet Services October 2025</t>
  </si>
  <si>
    <t>FY26 1st Quarter</t>
  </si>
  <si>
    <t>i-66</t>
  </si>
  <si>
    <t>AP02727430</t>
  </si>
  <si>
    <t>Mental Health issued 51 warrants ranging from $13.92 to $1,594,737.97.  Voucher MHARC 00347254 for $1,594,751.89  to MFI Recovery Center.</t>
  </si>
  <si>
    <t>j-66</t>
  </si>
  <si>
    <t>AR02727711</t>
  </si>
  <si>
    <t>Sheriff Department Contractual Revenue from the City of Temecula, Great Oak High School, Operation Stonegarden and Walker Family Funeral Services.</t>
  </si>
  <si>
    <t>k-66</t>
  </si>
  <si>
    <t>AP02728241</t>
  </si>
  <si>
    <t>AR02728089</t>
  </si>
  <si>
    <t>AR02728088</t>
  </si>
  <si>
    <t>0002727078</t>
  </si>
  <si>
    <t>R002688795</t>
  </si>
  <si>
    <t>FY26 1st Qtr OOC General Fund
Revenue Distribution</t>
  </si>
  <si>
    <t>Reverse FY25 4th Qtr OOC General
Fund Revenue Distribution Estimate</t>
  </si>
  <si>
    <t>Mental Health issued 13 warrants ranging from $68.33 to 441,902.54</t>
  </si>
  <si>
    <t>Auditor-Controller's Office - State Board of Equalization Local Sales Tax Revenue via ACARC TCR# 41586 &amp; 41587</t>
  </si>
  <si>
    <t>FY26 1st Qtr</t>
  </si>
  <si>
    <t>Reverse OOC General Fund</t>
  </si>
  <si>
    <t>FY25 4th Qtr</t>
  </si>
  <si>
    <t>Sheriff Department Contractual Revenue from Acheson &amp; Graham Garden of Prayer, cities of Eastvale, Jurupa Valley and Norco, Corona-Norco Unified School District, Department of State Hospitals, Jurupa Community Services District, Jurupa Unified School District, Murrieta Valley Funeral Home, Roosevelt High Sschool, Thomas Miller Mortuary and Western Construction Auction. SHARC TCR #s 69679-69682.</t>
  </si>
  <si>
    <t>l-66</t>
  </si>
  <si>
    <t>0002727588</t>
  </si>
  <si>
    <t>0002727161</t>
  </si>
  <si>
    <t>0002725514</t>
  </si>
  <si>
    <t>0002725501</t>
  </si>
  <si>
    <t>0002725525</t>
  </si>
  <si>
    <t>m-66</t>
  </si>
  <si>
    <t>AP02729211</t>
  </si>
  <si>
    <t>0002727585</t>
  </si>
  <si>
    <t>0002723733</t>
  </si>
  <si>
    <t>0002723465</t>
  </si>
  <si>
    <t>FY 2425 Revenue Recognition for Juvenile Probation Activities (JPA) for September and October 2025</t>
  </si>
  <si>
    <t>520105/526910</t>
  </si>
  <si>
    <t>750740/755919</t>
  </si>
  <si>
    <t>FY 2425 Revenue Recognition</t>
  </si>
  <si>
    <t>FY 2425 Juvenile Probation Sept-Oct</t>
  </si>
  <si>
    <t>Fire Department issued 113 warrants. Amounts of warrants range from $19.78 to $2.06 mil. $2.06 mil  payment to Fire Apparatus Solutions for TDA Spartan equipment FPARC Voucher# 431380.  1.6 mil payment to AllStar fire Equipment for equipment FPARC voucher# 431313</t>
  </si>
  <si>
    <t>n-66</t>
  </si>
  <si>
    <t>AR02729465</t>
  </si>
  <si>
    <t>0002720328</t>
  </si>
  <si>
    <t>0002727174</t>
  </si>
  <si>
    <t>0002720279</t>
  </si>
  <si>
    <t>0002728927</t>
  </si>
  <si>
    <t>FY26 Auditor-Controller's Office State Revenue from VLF realignment. ACARC TCR# 41607.</t>
  </si>
  <si>
    <t>118300/208142/230141</t>
  </si>
  <si>
    <t>FY26 PP24</t>
  </si>
  <si>
    <t>o-66</t>
  </si>
  <si>
    <t>AP02730070</t>
  </si>
  <si>
    <t>AP02730069</t>
  </si>
  <si>
    <t>AR02729866</t>
  </si>
  <si>
    <t>AR02729863</t>
  </si>
  <si>
    <t>0002729742</t>
  </si>
  <si>
    <t>0002729749</t>
  </si>
  <si>
    <t>0002729743</t>
  </si>
  <si>
    <t>0002729752</t>
  </si>
  <si>
    <t>FMCUST0998</t>
  </si>
  <si>
    <t>0002729750</t>
  </si>
  <si>
    <t>FMMAIN1233</t>
  </si>
  <si>
    <t>FMREAL0817</t>
  </si>
  <si>
    <t>0002727105</t>
  </si>
  <si>
    <t>PSAF - 1/2% Sales Tax Distribution Nov 2025.</t>
  </si>
  <si>
    <t>New Allocation. Realignment 1 - Transfer November 2025 Realignment Revenue for Sales Tax to Soc. Services - GF Operating Accounts.</t>
  </si>
  <si>
    <t>Realignment 2 - Transfer Nov 2025 Sales Tax, State Hospital Offset and Managed Care Offset from Mental Health sub-fund deferred revenue account to GF operating account.</t>
  </si>
  <si>
    <t>Trial Court Security for November 2025.</t>
  </si>
  <si>
    <t>CUST Services Nov 2025</t>
  </si>
  <si>
    <t>Realignment - Transfer November 2025 Realignment Revenue for VLF to Public Health GF Operating Accounts.</t>
  </si>
  <si>
    <t>MAINT Svcs Nov 2025</t>
  </si>
  <si>
    <t>1225 Payable Lease</t>
  </si>
  <si>
    <t>GF Contribution to Housing and Workforce Solutions
Community and Housing Development
FY25/26</t>
  </si>
  <si>
    <t>Mental Health issued 32 warrants ranging from $10.33 to $490,756.75.</t>
  </si>
  <si>
    <t>Mental Health issued 75 warrants ranging from $4.91 to $288,420.</t>
  </si>
  <si>
    <t>732140/751401/751600/767181/767182/767184/767185</t>
  </si>
  <si>
    <t>Mental Health State Revenue received for Medi-Cal for prior fiscal years via MHARC TCR 13184.</t>
  </si>
  <si>
    <t>751401/751402/751600/767181/767185/767186</t>
  </si>
  <si>
    <t>Mental Health - State Revenue received for Medi-Cal SGF, FFP, IGT and Non-Perinatal programs totalling $26,522,256.03 via MHARC TCR# 13173.</t>
  </si>
  <si>
    <t>PSAF - November 2025</t>
  </si>
  <si>
    <t>Realignment 1 - November 2025</t>
  </si>
  <si>
    <t>Realignment 2 - November 2025</t>
  </si>
  <si>
    <t>October 2025</t>
  </si>
  <si>
    <t>November 2025</t>
  </si>
  <si>
    <t>FY2026 November Custodial Services</t>
  </si>
  <si>
    <t>Realignement - November 2025</t>
  </si>
  <si>
    <t>FY2026 November Maintenance</t>
  </si>
  <si>
    <t>FY2026 December Lease</t>
  </si>
  <si>
    <t>General Fund Contribution to Housing and Workforce Solutions Community and Housing Development</t>
  </si>
  <si>
    <t>p-66</t>
  </si>
  <si>
    <t>0002729733</t>
  </si>
  <si>
    <t>0002725180</t>
  </si>
  <si>
    <t>0002728925</t>
  </si>
  <si>
    <t>Flex Excess (BOS 3.23 6-25-19/MCU &amp; TENTATIVE AGRMNT 2019-2023/SEIU) PP23 PPE 10292025</t>
  </si>
  <si>
    <t>Flex Excess (BOS 3.23 6-25-19/MCU &amp; TENTATIVE AGRMNT 2019-2023/SEIU) PP24 PPE 11122025</t>
  </si>
  <si>
    <t>q-66</t>
  </si>
  <si>
    <t>AP02730901</t>
  </si>
  <si>
    <t>0002725124</t>
  </si>
  <si>
    <t>0002728937</t>
  </si>
  <si>
    <t>0002728933</t>
  </si>
  <si>
    <t>0002728935</t>
  </si>
  <si>
    <t>Mental Health issued 100 warrants ranging from $6.07 to $408,434.75.</t>
  </si>
  <si>
    <t>Reclass SAMHSA SAPT QFFMR Received FY2526 for FY2425 and PATH JI Received FY2526. $2,781,841.48 coded to revenue.</t>
  </si>
  <si>
    <t>r-66</t>
  </si>
  <si>
    <t>AP02731224</t>
  </si>
  <si>
    <t>AP02731223</t>
  </si>
  <si>
    <t>Mental Health issued 28 warrants ranging from $400 to $494,084.</t>
  </si>
  <si>
    <t>Mental Health issued 129 warrants ranging from $25.66 to $249,522.49.</t>
  </si>
  <si>
    <t>s-66</t>
  </si>
  <si>
    <t>AP02731477</t>
  </si>
  <si>
    <t>Sheriff Department issued 155 warrants ranging from $9 to $940,073.25.</t>
  </si>
  <si>
    <t>t-66</t>
  </si>
  <si>
    <t>FMCUST0999</t>
  </si>
  <si>
    <t>0002730669</t>
  </si>
  <si>
    <t>FMMAIN1234</t>
  </si>
  <si>
    <t>0002730683</t>
  </si>
  <si>
    <t>ITACCS2606</t>
  </si>
  <si>
    <t>0002730660</t>
  </si>
  <si>
    <t>0002730187</t>
  </si>
  <si>
    <t>0002728978</t>
  </si>
  <si>
    <t>0002729391</t>
  </si>
  <si>
    <t>CUST Services Dec 2025</t>
  </si>
  <si>
    <t>FY25-26 Dec Property Insurance</t>
  </si>
  <si>
    <t>MAINT Svcs Dec 2025</t>
  </si>
  <si>
    <t>FY25-26 Dec - Worker's Compensation</t>
  </si>
  <si>
    <t>RCIT Enterprise Services December 2025
M.O. 3.12, 1-14-2025</t>
  </si>
  <si>
    <t>FY25-26 Dec General/Auto Liability Insurance</t>
  </si>
  <si>
    <t>CalSAWS - Oasis JE for 12/01/2025</t>
  </si>
  <si>
    <t>CalSAWS - Oasis JE for 11/24/2025</t>
  </si>
  <si>
    <t>CalSAWS - Oasis JE for 11/25/2025</t>
  </si>
  <si>
    <t>FY2026 December Custodial Services</t>
  </si>
  <si>
    <t>FY2026 December Maintenance</t>
  </si>
  <si>
    <t>FY26 Property Insurance Period 6</t>
  </si>
  <si>
    <t>FY26 Worker's Comp Period 6</t>
  </si>
  <si>
    <t>FY2026 November RCIT Service</t>
  </si>
  <si>
    <t>FY2026 December RCIT Service</t>
  </si>
  <si>
    <t>FY26 General/Auto Liability Insurance Period 6</t>
  </si>
  <si>
    <t>u-66</t>
  </si>
  <si>
    <t>AP02732248</t>
  </si>
  <si>
    <t>AR02732042</t>
  </si>
  <si>
    <t>FY26 2nd Quarter</t>
  </si>
  <si>
    <t>Executive Office issued 4 warrants amounts ranging between $1k to $6.2M. $6.2M payment for FY 24-25 Executive Office Courts MOE 4th Quarter State Payment, Voucher EOARC 00051821.</t>
  </si>
  <si>
    <t>Executive Office issued 3 warrants amounts ranging between $570.84 to $6,241,447. $6.2m payment to State Treasurer's Office for FY 25-26 Trial Courts MOE 2nd Quarter via voucher EOARC 00053938.</t>
  </si>
  <si>
    <t>Sheriff Department - Contractual Revenue from Agua Calinete Casino, the Cities of Indian Wells, Palm Desert and Rancho Mirage, Palm Springs Unified School District, SoCal Arena, and Southwest Church.</t>
  </si>
  <si>
    <t>v-66</t>
  </si>
  <si>
    <t>0002731987</t>
  </si>
  <si>
    <t>0002731895</t>
  </si>
  <si>
    <t>FY25-26 Jan TIF Transfer Sec to RPTTF</t>
  </si>
  <si>
    <t>Realignment - Allocation of FY24-25 Realignment Revenue for VLF Growth to Public Health, Mental Health, and Child Poverty and Family Supplemental Support Operating Accounts.</t>
  </si>
  <si>
    <t>FY25-26 RPTTF Collection 1 - RPTTF Jan</t>
  </si>
  <si>
    <t>FY24-25 Realignment Allocation to Various Programs</t>
  </si>
  <si>
    <t>w-66</t>
  </si>
  <si>
    <t>AP02733045</t>
  </si>
  <si>
    <t>AP02733094</t>
  </si>
  <si>
    <t>Mental Health issued 17 warrants ranging from $599.70 to $856,459.72.</t>
  </si>
  <si>
    <t>530280/530580</t>
  </si>
  <si>
    <t>Sheriff Department issued 38 warrants ranging from $7.61 to $1.35 M. $1.35M voucher SHARC 00616969 to Flock Safety for license plate readers and "Advanced Search" technology.</t>
  </si>
  <si>
    <t>x-66</t>
  </si>
  <si>
    <t>AR02733477</t>
  </si>
  <si>
    <t>0002732862</t>
  </si>
  <si>
    <t>0002730263</t>
  </si>
  <si>
    <t>0002730235</t>
  </si>
  <si>
    <t>GL Export_FY25-26 CY SEC SA1</t>
  </si>
  <si>
    <t>FY26 Secured Advance 1 - CY SEC SA1</t>
  </si>
  <si>
    <t>0002731860</t>
  </si>
  <si>
    <t>0002731856</t>
  </si>
  <si>
    <t>0002731858</t>
  </si>
  <si>
    <t>FY26 PP25</t>
  </si>
  <si>
    <t>FY26 Department of Public Health State Revenue. HSARC TCR # 135021</t>
  </si>
  <si>
    <t>AP02734179</t>
  </si>
  <si>
    <t>AR02733927</t>
  </si>
  <si>
    <t>AR02733917</t>
  </si>
  <si>
    <t>0002730245</t>
  </si>
  <si>
    <t>118501/773520/774010/777060/777500/780040</t>
  </si>
  <si>
    <t>767181/767185/751600/751401/767186</t>
  </si>
  <si>
    <t>118300/118400/230141/530440/750700/750741</t>
  </si>
  <si>
    <t>y-66</t>
  </si>
  <si>
    <t>Sheriff Department issued 20 warrants ranging from $33.93 to $7.99M. $7.99M voucher SHARC 00620821 payment to  Pilatus Business Aircraft for parts.</t>
  </si>
  <si>
    <t>Sheriff Department - Contractual Revenue from multiple various sources.</t>
  </si>
  <si>
    <t>Mental Health - State Revenue. $7,491,662.21 received for Medi-Cal MCHIP IGT via MHARC TCR# 13199.  $1,918,207.68 received  for Non-perinatal programs via MHARC TCR#13198</t>
  </si>
  <si>
    <t>z-66</t>
  </si>
  <si>
    <t>AR02734347</t>
  </si>
  <si>
    <t>112100/118301/118401/118404/118501/118601</t>
  </si>
  <si>
    <t>Sheriff Department Contractual Revenue from Chaparral HS, City of La Quinta, City of Coachella, De Luz (S.R.) C.S.D., Dept of State Hospitals, Temecula Valley HS, Omega Society, and U.S Postal Inspection Service.</t>
  </si>
  <si>
    <t>a-67</t>
  </si>
  <si>
    <t>AP02734984</t>
  </si>
  <si>
    <t>AP02735034</t>
  </si>
  <si>
    <t>0002733427</t>
  </si>
  <si>
    <t>advance to revenue December 2025</t>
  </si>
  <si>
    <t>Mental Health issued 30 warrants ranging from $37.47 to $926,060.</t>
  </si>
  <si>
    <t>Sheriff Department issued 139 warrants ranging from $1.90 to $1,151,578.96. $1.152 mil payment to Carahsoft Technology Corp. for software subsciption via SHARC V# 00620231.</t>
  </si>
  <si>
    <t>b-67</t>
  </si>
  <si>
    <t>AR02735234</t>
  </si>
  <si>
    <t>0002734763</t>
  </si>
  <si>
    <t>0002732475</t>
  </si>
  <si>
    <t>GL FY 25-26 CY UNS UC2</t>
  </si>
  <si>
    <t>FY 25/26 General Fund Contributions
RivCoONE</t>
  </si>
  <si>
    <t>Fire Department - Fire Protection Revenue from WHA Inc, Walton Development &amp; Mgmt Inc, and City of Lake Elsinore</t>
  </si>
  <si>
    <t>230100/779030/779060</t>
  </si>
  <si>
    <t>FY26 Unsecured Collection 2 - CY UNS UC2</t>
  </si>
  <si>
    <t>General Fund Contribution to other Funds</t>
  </si>
  <si>
    <t>c-67</t>
  </si>
  <si>
    <t>AP02735750</t>
  </si>
  <si>
    <t>FY26 Dept. of Public Social Services issued a warrant in the amount of $5,501,930.87 for the payment of December 2025 IHSS Health Benefits via DPARC Voucher# 00215313.</t>
  </si>
  <si>
    <t>d-67</t>
  </si>
  <si>
    <t>AP02736426</t>
  </si>
  <si>
    <t>AP02736476</t>
  </si>
  <si>
    <t>AR02736228</t>
  </si>
  <si>
    <t>AR02736193</t>
  </si>
  <si>
    <t>0002734671</t>
  </si>
  <si>
    <t>0002734305</t>
  </si>
  <si>
    <t>0002734291</t>
  </si>
  <si>
    <t>0002735091</t>
  </si>
  <si>
    <t>0002734733</t>
  </si>
  <si>
    <t>0002734714</t>
  </si>
  <si>
    <t>0002734273</t>
  </si>
  <si>
    <t>0002735997</t>
  </si>
  <si>
    <t>FMREAL0821</t>
  </si>
  <si>
    <t>0126 Payable Lease</t>
  </si>
  <si>
    <t>Mental Health issued 12 warrants ranging from $9.55 to $907,800.</t>
  </si>
  <si>
    <t>Sheriff Department issued 127 warrants ranging from $6.48 to $898,691.42.</t>
  </si>
  <si>
    <t>Fire Department - Fire Protection Contractual Revenue from the City of Perris.</t>
  </si>
  <si>
    <t>230100/779040/779120</t>
  </si>
  <si>
    <t>Sheriff Department - Contractual Revenue from the Cities of Eastvale, Jurupa Valley, and Norco, Corona-Norco Unified School District, Jurupa Community Services, Jurupa Unified School District, and Roosevelt High School.</t>
  </si>
  <si>
    <t>118300/118401/230141/530440</t>
  </si>
  <si>
    <t>118300/118401/208142/230141</t>
  </si>
  <si>
    <t>118300/118400/208142/2230141</t>
  </si>
  <si>
    <t>FY2026 January Lease</t>
  </si>
  <si>
    <t>e-67</t>
  </si>
  <si>
    <t>AP02736737</t>
  </si>
  <si>
    <t>AR02736560</t>
  </si>
  <si>
    <t>INTQ126ACR</t>
  </si>
  <si>
    <t>Q1 2026 INT ACRL</t>
  </si>
  <si>
    <t>FY26 Mental Health issued 4 warrants ranging from $10,865.20 to  $548,912.89</t>
  </si>
  <si>
    <t>FY26 Department of Public Health State Revenue. HSARC TCR # 135032</t>
  </si>
  <si>
    <t>112100/118301/118401/118501</t>
  </si>
  <si>
    <t>FY26 1st Qtr Accrual</t>
  </si>
  <si>
    <t>f-67</t>
  </si>
  <si>
    <t>AP02737133</t>
  </si>
  <si>
    <t>AP02737177</t>
  </si>
  <si>
    <t>AP02737037</t>
  </si>
  <si>
    <t>AR02736893</t>
  </si>
  <si>
    <t>AR02736901</t>
  </si>
  <si>
    <t>AR02736900</t>
  </si>
  <si>
    <t>AR02736937</t>
  </si>
  <si>
    <t>AR02736955</t>
  </si>
  <si>
    <t>FLT112026</t>
  </si>
  <si>
    <t>0002735992</t>
  </si>
  <si>
    <t>0002735988</t>
  </si>
  <si>
    <t>FY26 FLEET MONTHLY BILLING PER 5 NOVEMBER</t>
  </si>
  <si>
    <t>FY26 Mental Health issued 74 warrants ranging from $21.74 to  $485,552.36</t>
  </si>
  <si>
    <t>Sheriff Department issued 149 warrants ranging from $4.50 to $964,769.94</t>
  </si>
  <si>
    <t>Realignment 2 - December 2025</t>
  </si>
  <si>
    <t>750250/770540</t>
  </si>
  <si>
    <t>Sheriff Department - Contractual Revenue from City of Lake Elsinore and La Quinta Highschool.  $1.27 mil from city of Lake Elsinore via SHARC TCR# 69882</t>
  </si>
  <si>
    <t>Fire Department contractual revenue from the City of Menifee FY25/26 1st Quarter $3,763,059.73 via FPARC TCR# 15565 and other various sources.</t>
  </si>
  <si>
    <t>230100/779125</t>
  </si>
  <si>
    <t>Mental Health State Revenue received for Medi-Cal for prior fiscal years via MHARC TCR 13212</t>
  </si>
  <si>
    <t>732140/751401/751402/751600/767181/767185/767186/775540/781480</t>
  </si>
  <si>
    <t>FY26 Fleet Services November 2025</t>
  </si>
  <si>
    <t>FY26 PP26</t>
  </si>
  <si>
    <t>FY26 Dept. of Public Social Services issued 45 warrants ranging from $11.96 to $277,443.29</t>
  </si>
  <si>
    <t>Realignment 2 - Transfer Dec 2025 Sales Tax, State Hospital Offset and Managed Care Offset from Mental Health sub-fund deferred revenue account to GF operating account. ACARC TCR# 41737 in the amount of $1,899,652.34 &amp; 41735 in the amount of $432,696.17.</t>
  </si>
  <si>
    <t>Auditor-Controller's Office - State Board of Equalization Local Sales Tax Revenue via ACARC TCR# 41730.</t>
  </si>
  <si>
    <t>g-67</t>
  </si>
  <si>
    <t>AP02737508</t>
  </si>
  <si>
    <t>AR02737343</t>
  </si>
  <si>
    <t>0002736859</t>
  </si>
  <si>
    <t>0002736864</t>
  </si>
  <si>
    <t>0002736886</t>
  </si>
  <si>
    <t>0002736860</t>
  </si>
  <si>
    <t>0002735086</t>
  </si>
  <si>
    <t>0002736867</t>
  </si>
  <si>
    <t>PSAF - 1/2% Sales Tax Distribution Dec 2025.</t>
  </si>
  <si>
    <t>New Allocation. Realignment 1 - Transfer December 2025 Realignment Revenue for Sales Tax to Soc. Services - GF Operating Accounts.</t>
  </si>
  <si>
    <t>GL FY25-26 CY SUP DEC</t>
  </si>
  <si>
    <t>Realignment 2 - Transfer Dec 2025 Sales Tax, State Hospital Offset and Managed Care Offset from Mental Health sub-fund deferred revenue account to GF operating account.</t>
  </si>
  <si>
    <t>ADMIN FEE CHARGE FOR THE 2ND QTR 10/1/2025-12/31/2025 FY 25/26</t>
  </si>
  <si>
    <t>Trial Court Security for December 2025.</t>
  </si>
  <si>
    <t>0002735990</t>
  </si>
  <si>
    <t>FY26 Mental Health issued 92 warrants ranging from $11.35 to  $461,094.77</t>
  </si>
  <si>
    <t>Mental Health State Revenue received for Medi-Cal for prior fiscal years via MHARC TCRs 13216, 13217, 13218, 13220 and 13221</t>
  </si>
  <si>
    <t>PSAF - December 2025</t>
  </si>
  <si>
    <t>732140/751401/767182/767185/767186/767200/775520/775540</t>
  </si>
  <si>
    <t>Realignment 1 - December 2025</t>
  </si>
  <si>
    <t>FY 25-26 Supplemental Taxes Current - CY SUP</t>
  </si>
  <si>
    <t>FY26 2nd Qtr.</t>
  </si>
  <si>
    <t>various</t>
  </si>
  <si>
    <t>h-67</t>
  </si>
  <si>
    <t>AP02737871</t>
  </si>
  <si>
    <t>AR02737671</t>
  </si>
  <si>
    <t>AR02737687</t>
  </si>
  <si>
    <t>AR02737686</t>
  </si>
  <si>
    <t>0002737256</t>
  </si>
  <si>
    <t>FY 25-26 RPTTF January Distribution</t>
  </si>
  <si>
    <t>Sheriff Department issued 152 warrants ranging from $6.48 to $649,963.29.</t>
  </si>
  <si>
    <t>Fire Department - Fire Protection Contractual Revenue from the Cities of Desert Hot Springs and Eastvale, Rubidoux Community, State of California, State Farm, Superior Court of California, AFICS and individual residents.</t>
  </si>
  <si>
    <t>230100/767220/777120/779040/779130/779160/779260</t>
  </si>
  <si>
    <t>Mental Health - State Revenue received for Medi-Cal SGF, FFP, IGT and Non-Perinatal programs totalling $5,659,378.25 via MHARC TCR# 13224.</t>
  </si>
  <si>
    <t>751401/751600/767181/767185/767186</t>
  </si>
  <si>
    <t>Mental Health - State Revenue received for Medi-Cal SGF, FFP, IGT totalling $27,917,452.82 via MHARC TCR# 13219.</t>
  </si>
  <si>
    <t>i-67</t>
  </si>
  <si>
    <t>0002736829</t>
  </si>
  <si>
    <t>0002736830</t>
  </si>
  <si>
    <t>0002737573</t>
  </si>
  <si>
    <t>CalSAWS - Oasis JE for 12/24/2025</t>
  </si>
  <si>
    <t>CalSAWS - Oasis JE for 12/26/2025</t>
  </si>
  <si>
    <t>To reclass CIP pass-thru revenues distributed in the FY25-26 January RPTTF distribution</t>
  </si>
  <si>
    <t>RPTTF CIP Pass-Thru Jan 2026</t>
  </si>
  <si>
    <t>j-67</t>
  </si>
  <si>
    <t>AR02738421</t>
  </si>
  <si>
    <t>230100/779040/779250</t>
  </si>
  <si>
    <t>k-67</t>
  </si>
  <si>
    <t>AP02738965</t>
  </si>
  <si>
    <t>AP02738964</t>
  </si>
  <si>
    <t>AP02739001</t>
  </si>
  <si>
    <t>0002736060</t>
  </si>
  <si>
    <t>0002737931</t>
  </si>
  <si>
    <t>AB109 Funding for FY2526 Q1 Partial</t>
  </si>
  <si>
    <t>CalSAWS - Oasis JE for 01/02/2026</t>
  </si>
  <si>
    <t>FY26 Mental Health issued 78 warrants ranging from $7.06 to  $239,805.06.</t>
  </si>
  <si>
    <t>FY26 Mental Health issued 54 warrants ranging from $114.18 to  $262,159.81.</t>
  </si>
  <si>
    <t>Sheriff Department issued 86 warrants ranging from $8.31 to $951,800.14.</t>
  </si>
  <si>
    <t>l-67</t>
  </si>
  <si>
    <t>AP02739287</t>
  </si>
  <si>
    <t>AP02739288</t>
  </si>
  <si>
    <t>FY26 Mental Health issued 32 warrants ranging from $39.14 to $1,693,483.14. Voucher MHARC 00350020 for $1,693,483.14 to MFI Recovery Center.</t>
  </si>
  <si>
    <t>AR02739128</t>
  </si>
  <si>
    <t>Montrhly</t>
  </si>
  <si>
    <t>Sheriff Department - Contractual revenue from the City of Moreno Valley. $4,410,633.39 and $4,350,680.05 SHARC TCR #s 69922 and 69923 respectively.</t>
  </si>
  <si>
    <t>0002738318</t>
  </si>
  <si>
    <t>0002738314</t>
  </si>
  <si>
    <t>0002738316</t>
  </si>
  <si>
    <t>FY26PP01</t>
  </si>
  <si>
    <t>513120/208100</t>
  </si>
  <si>
    <t>FY26 Mental Health issued 20 warrants ranging from $427.50 to $874,780.00</t>
  </si>
  <si>
    <t>m-67</t>
  </si>
  <si>
    <t>AP02739526</t>
  </si>
  <si>
    <t>AP02739525</t>
  </si>
  <si>
    <t>FY26 Mental Health issued 19 warrants ranging from $2.84 to $492,264.</t>
  </si>
  <si>
    <t>FY26 Mental Health issued 146 warrants ranging from $14.67 to $134.763.</t>
  </si>
  <si>
    <t>n-67</t>
  </si>
  <si>
    <t>AP02739808</t>
  </si>
  <si>
    <t>FY2026 1st  Quarter</t>
  </si>
  <si>
    <t xml:space="preserve">Fire Department issued 58 warrants. Amounts of warrants range from $30.50 to $74,726,657.89.  $74.7 mil payment to State of California Department of Forestry 1st Quarter FY26. FPARC Voucher# 00433241. </t>
  </si>
  <si>
    <t>o-67</t>
  </si>
  <si>
    <t>AP02740216</t>
  </si>
  <si>
    <t>AR02740036</t>
  </si>
  <si>
    <t>0002739384</t>
  </si>
  <si>
    <t>AB109:  1st Qtr &amp; 2nd Qtr (partial) Billings for FY 2025/26</t>
  </si>
  <si>
    <t>Fire Department contractual revenue from City of Moreno Valley FY25/26 1st Quarter $5,874,116.12  and $1,875,486.70 via FPARC TCR# 15594. And other various sources.</t>
  </si>
  <si>
    <t>230100/779040/779170/781360</t>
  </si>
  <si>
    <t>FY26 Mental Health issued 97 warrants ranging from $12.25 to $222,200.</t>
  </si>
  <si>
    <t>AB109 Public Defender</t>
  </si>
  <si>
    <t>FY25-26 1st &amp; 2nd Qtr.</t>
  </si>
  <si>
    <t>p-67</t>
  </si>
  <si>
    <t>AP02740646</t>
  </si>
  <si>
    <t>AP02740645</t>
  </si>
  <si>
    <t>AR02740464</t>
  </si>
  <si>
    <t>AR02740438</t>
  </si>
  <si>
    <t>0002738366</t>
  </si>
  <si>
    <t>0002738374</t>
  </si>
  <si>
    <t>FY26 Mental Health issued 90 warrants ranging from $6.08 to $679,546.12</t>
  </si>
  <si>
    <t>FY26 Mental Health issued 155 warrants ranging from $9.56 to $446,080</t>
  </si>
  <si>
    <t>Fire Department - Fire Protection Revenue from Idyllwild Fire, City of Jurupa Valley, City of Rancho Mirage, Riverside Community College, Superior Court of California, and multiple residents.</t>
  </si>
  <si>
    <t>Sheriff Department - Contractual Revenue from the Cities of Calimesa, Coachella, Commission on Peace Officer Standards, and Riverside Community College District</t>
  </si>
  <si>
    <t>230141/208142</t>
  </si>
  <si>
    <t>q-67</t>
  </si>
  <si>
    <t>AP02741000</t>
  </si>
  <si>
    <t>AP02740962</t>
  </si>
  <si>
    <t>AP02741116</t>
  </si>
  <si>
    <t>AP02741105</t>
  </si>
  <si>
    <t>AP02741106</t>
  </si>
  <si>
    <t>AR02740914</t>
  </si>
  <si>
    <t>AR02740926</t>
  </si>
  <si>
    <t>AR02740909</t>
  </si>
  <si>
    <t>AR02740896</t>
  </si>
  <si>
    <t>00C2736060</t>
  </si>
  <si>
    <t>0002738377</t>
  </si>
  <si>
    <t>FMCUST1000</t>
  </si>
  <si>
    <t>FMMAIN1235</t>
  </si>
  <si>
    <t>ITACCS2607</t>
  </si>
  <si>
    <t>0002738783</t>
  </si>
  <si>
    <t>00R2736060</t>
  </si>
  <si>
    <t>AB109 Funding for FY2526 Q1</t>
  </si>
  <si>
    <t>CUST Services Jan 2026</t>
  </si>
  <si>
    <t>MAINT Svcs Jan 2026</t>
  </si>
  <si>
    <t>RCIT Enterprise Services January 2026
M.O. 3.12, 1-14-2025</t>
  </si>
  <si>
    <t>FY25-26 Jan General/Auto Liability Insurance</t>
  </si>
  <si>
    <t>Reverse AB109 Funding for FY2526 Q1 Partial</t>
  </si>
  <si>
    <t>FY26 Dept. of Public Social Services issued 10 warrants with amounts ranging from $788.40 to $6,090,667.28. $6mil payment forJanuary 2026 IHSS Health Benefits via DPARC Voucher# 00215705.</t>
  </si>
  <si>
    <t>FY2026 2nd Quarter</t>
  </si>
  <si>
    <t>FY26 Assessor Clerk Recorder issued 6 warrants ranging from $70.69 to $4,107,358.95. $4.1mil payment for 2nd Qtr SB2 Fee to State Controller's Office via ASARC Voucher# 00066545.</t>
  </si>
  <si>
    <t>Public Defender's Office issued 11 warrants ranging in from $64 to $3,225,345.22. $3.2mil payment to The Board of State and Community Corrections (BSCC) for unspent Public Defense Pilot Program (2nd Look) grant funds via PDARC voucher # 00029773.</t>
  </si>
  <si>
    <t>Public Defender's Expense</t>
  </si>
  <si>
    <t>The Board of State and Community Corrections (BSCC)</t>
  </si>
  <si>
    <t>Fire Department - Fire Protection Contractual Revenue from the City of Temecula.</t>
  </si>
  <si>
    <t>230100/771300/776500/779040/779140</t>
  </si>
  <si>
    <t>Mental Health - State Revenue received for Medi-Cal SGF, FFP, IGT via MHARC TCR# 13232.</t>
  </si>
  <si>
    <t>FY2026 Tax Anticipation Note Pay Req 3</t>
  </si>
  <si>
    <t>FY26 TRANS Revenue via EOARC TCR 13750</t>
  </si>
  <si>
    <t>Sheriff Department - Contractual Revenue from the Cities of Canyon Lake, La Quinta, and Wildomar, Deset Sands Unified School District, and Southern Coachella Valley.</t>
  </si>
  <si>
    <t>118300208142/230141</t>
  </si>
  <si>
    <t>FY2026 January Custodial Services</t>
  </si>
  <si>
    <t>FY2026 January Maintenance</t>
  </si>
  <si>
    <t>FY26 General/Auto Liability Insurance Period 7</t>
  </si>
  <si>
    <t>r-67</t>
  </si>
  <si>
    <t>AP02741867</t>
  </si>
  <si>
    <t>AR02741653</t>
  </si>
  <si>
    <t>AR02741654</t>
  </si>
  <si>
    <t>0002741250</t>
  </si>
  <si>
    <t>GL FY 25-26 CY SBE CS1</t>
  </si>
  <si>
    <t>FY26 Mental Health issued 28 warrants ranging from $32 to $283,351.</t>
  </si>
  <si>
    <t>FY26 Mental Health issued 27 warrants ranging from $47.24 to $310,203.41.</t>
  </si>
  <si>
    <t>FY26 Mental Health issued 45 warrants ranging from $26.95 to $360,236.93.</t>
  </si>
  <si>
    <t>Sheriff Department - Contractual Revenue from Department of State Hospitals, New Journey Cremation and Superior Court of California.</t>
  </si>
  <si>
    <t>Sheriff Department - Contractual Revenue from the City of Lake Elsinore and Teneaja Community Services District.</t>
  </si>
  <si>
    <t>FY26 State Board of Equalization Colletion 1 - CY SBE CS1</t>
  </si>
  <si>
    <t>s-67</t>
  </si>
  <si>
    <t>AR02742143</t>
  </si>
  <si>
    <t>AR02742121</t>
  </si>
  <si>
    <t>0002739931</t>
  </si>
  <si>
    <t>0002739952</t>
  </si>
  <si>
    <t>FY25-26 Jan Property Insurance</t>
  </si>
  <si>
    <t>FY25-26 Jan - Worker's Compensation</t>
  </si>
  <si>
    <t>GF Contribution to Palo Verde Health Care District</t>
  </si>
  <si>
    <t>General Fund Contribution to Palo Verde Health Care District</t>
  </si>
  <si>
    <t>Dept. of Animal Services revenue from the cities of Riverside and Cathedral City via ANARC TCR #25734.</t>
  </si>
  <si>
    <t>ANARC</t>
  </si>
  <si>
    <t>Dept. of Animal Services Revenue</t>
  </si>
  <si>
    <t>FY26 Property Insurance Period 7</t>
  </si>
  <si>
    <t>FY26 Worker's Comp Period 7</t>
  </si>
  <si>
    <t>t-67</t>
  </si>
  <si>
    <t>AP02742902</t>
  </si>
  <si>
    <t>AP02742901</t>
  </si>
  <si>
    <t>AP02742971</t>
  </si>
  <si>
    <t>FY26 Mental Health issued 33 warrants ranging from $354.18 to $789,912.00</t>
  </si>
  <si>
    <t>FY26 Mental Health issued 71 warrants ranging from $23.90 to $371,260.00.</t>
  </si>
  <si>
    <t>532690/533750</t>
  </si>
  <si>
    <t>Sheriff Department issued 30 warrants ranging from $22.20 to $2,346,287.15. $2.346M payment to Crayon Software Experts LLC for software subscription services on SHARC voucher # 00622790.</t>
  </si>
  <si>
    <t>AR02742722</t>
  </si>
  <si>
    <t>FLT122026</t>
  </si>
  <si>
    <t>FY26 FLEET MONTHLY BILLING PER 6 DECEMBER FY26</t>
  </si>
  <si>
    <t>FY26 Fleet Services December 2025</t>
  </si>
  <si>
    <t>Mental Health - State Revenue received for 1st Quarter FY25/26  Substance Abuse and Mental Health Services Act - SAMHSA on MHARC TCR # 13234.</t>
  </si>
  <si>
    <t>u-67</t>
  </si>
  <si>
    <t>AP02743232</t>
  </si>
  <si>
    <t>INTQ226CSH</t>
  </si>
  <si>
    <t>Q2 2026 INT CASH</t>
  </si>
  <si>
    <t>FY26 2nd Qtr Cash</t>
  </si>
  <si>
    <t>FY26 Mental Health issued 81 warrants ranging from $12.66 to $425,589.14.</t>
  </si>
  <si>
    <t>v-67</t>
  </si>
  <si>
    <t>AR02743453</t>
  </si>
  <si>
    <t>AR02743450</t>
  </si>
  <si>
    <t>0002741984</t>
  </si>
  <si>
    <t xml:space="preserve">Sheriff Department - Contractual Revenue from the City of Moreno Valley and Dept. of Defense. $4.4 mil from City of Moreno Valley via SHARC TCR# 70021 </t>
  </si>
  <si>
    <t>Sheriff Department - Contractual Revenue from the City of Palm Desert.</t>
  </si>
  <si>
    <t>FY26 PP02</t>
  </si>
  <si>
    <t>w-67</t>
  </si>
  <si>
    <t>AP02744041</t>
  </si>
  <si>
    <t>AP02744042</t>
  </si>
  <si>
    <t>AR02743867</t>
  </si>
  <si>
    <t>AR02743859</t>
  </si>
  <si>
    <t>0002743087</t>
  </si>
  <si>
    <t>0002740818</t>
  </si>
  <si>
    <t>0002740373</t>
  </si>
  <si>
    <t>0002743052</t>
  </si>
  <si>
    <t>0002740815</t>
  </si>
  <si>
    <t>FMREAL0823</t>
  </si>
  <si>
    <t>0002742541</t>
  </si>
  <si>
    <t>0002742617</t>
  </si>
  <si>
    <t>FMPBH26061</t>
  </si>
  <si>
    <t>0002741979</t>
  </si>
  <si>
    <t>FMREAL0824</t>
  </si>
  <si>
    <t>0002741975</t>
  </si>
  <si>
    <t>0002741977</t>
  </si>
  <si>
    <t>FY 25-26 CY SEC SS1 GL Export</t>
  </si>
  <si>
    <t>Advance to Revenue-January 2026</t>
  </si>
  <si>
    <t>Dec 2025 Chargeback</t>
  </si>
  <si>
    <t>Charge Direct Billing Item V#00011268 Microwave Lease Payment from PSEC to Sheriff (88%) and Fire (12%) - $1,558,037.99</t>
  </si>
  <si>
    <t>RV351 TI Chargeback</t>
  </si>
  <si>
    <t>FY25/26-Dec Proj Billings</t>
  </si>
  <si>
    <t>0226 Payable Lease</t>
  </si>
  <si>
    <t>FY26 Mental Health issued 32 warrants ranging from $7.49 to 471,295.89</t>
  </si>
  <si>
    <t>FY26 Mental Health issued 60 warrants ranging from $6.91 to $1,679,525.84 Voucher MHARC 00350861 for $1,679,525.84 to MFI Recovery Center</t>
  </si>
  <si>
    <t>710020/750250/731200</t>
  </si>
  <si>
    <t>Auditor-Controller's Office - State Board of Equalization Local Sales Tax Revenue via ACARC TCR# 41855, 41856 and 41858</t>
  </si>
  <si>
    <t>Sheriff Department - Contractual Revenue from the Agua Caliente Band of Cahuilla Indians, Agua Caliente Casino, City of Perris, City of Rancho Mirrage, Marriot Desert Springs Resort, Nuview USD, Orange Empire Railway Museum, Perris UHSD, Ritchie Bros. Auctions and SoCal Arena.</t>
  </si>
  <si>
    <t>FY25-26 Secured Settlement 1 - CY SEC SS1</t>
  </si>
  <si>
    <t>700020/732200/733020/770020/770030/770090/770100/772830/777310/781240</t>
  </si>
  <si>
    <t xml:space="preserve">Microwave Lease INV#00011268 </t>
  </si>
  <si>
    <t>Hulen Pl. Rehabilitation Project Reimbursement</t>
  </si>
  <si>
    <t>FY2026 January Project Billings</t>
  </si>
  <si>
    <t>528280/522310/523300/536860/537040/537280/537320</t>
  </si>
  <si>
    <t>526700/522310</t>
  </si>
  <si>
    <t>Sheriff Lease Payment</t>
  </si>
  <si>
    <t>x-67</t>
  </si>
  <si>
    <t>AP02744536</t>
  </si>
  <si>
    <t>AR02744303</t>
  </si>
  <si>
    <t>AR02744317</t>
  </si>
  <si>
    <t>AR02744251</t>
  </si>
  <si>
    <t>0002743362</t>
  </si>
  <si>
    <t>0002743367</t>
  </si>
  <si>
    <t>0002740379</t>
  </si>
  <si>
    <t>0002738364</t>
  </si>
  <si>
    <t>0002740376</t>
  </si>
  <si>
    <t>0002743363</t>
  </si>
  <si>
    <t>0002743370</t>
  </si>
  <si>
    <t>0002743754</t>
  </si>
  <si>
    <t>0002743368</t>
  </si>
  <si>
    <t>PSAF - 1/2% Sales Tax Distribution Jan 2026.</t>
  </si>
  <si>
    <t>New Allocation. Realignment 1 - Transfer January 2026 Realignment Revenue for Sales Tax to Soc. Services - GF Operating Accounts.</t>
  </si>
  <si>
    <t>Realignment 2 - Transfer Jan 2026 Sales Tax, State Hospital Offset and Managed Care Offset from Mental Health sub-fund deferred revenue account to GF operating account.</t>
  </si>
  <si>
    <t>Trial Court Security for January 2026.</t>
  </si>
  <si>
    <t>FY 25/26 2nd Quarter Admin Allocation</t>
  </si>
  <si>
    <t>Realignment - Transfer January 2026 Realignment Revenue for VLF to Public Health GF Operating Accounts.</t>
  </si>
  <si>
    <t>Sheriff Department issued 126 warrants ranging from $.50 to $748,000</t>
  </si>
  <si>
    <t>FY26 Department of Public Health State Revenue. HSARC TCR # 135053</t>
  </si>
  <si>
    <t>762040/774020/774010/770970/751250</t>
  </si>
  <si>
    <t>Sheriff Department - Contractual Revenue from City of San Jacinto, Department of State Hospitals and San Jacinto USD.</t>
  </si>
  <si>
    <t>PSAF - January 2026</t>
  </si>
  <si>
    <t>Realignment 1 - January 2026</t>
  </si>
  <si>
    <t>Realignment 2 - January 2026</t>
  </si>
  <si>
    <t>FY26 2nd Qtr. Administration Allocation</t>
  </si>
  <si>
    <t>777520/572400/524500</t>
  </si>
  <si>
    <t>FY25-26 Realignment Allocation to Various Programs</t>
  </si>
  <si>
    <t>January 2026</t>
  </si>
  <si>
    <t>December 2025</t>
  </si>
  <si>
    <t>y-67</t>
  </si>
  <si>
    <t>AR02744708</t>
  </si>
  <si>
    <t>AR02744740</t>
  </si>
  <si>
    <t>AR02744655</t>
  </si>
  <si>
    <t>Fire Department - Fire Protection Contractual Revenue from the Cities of Banning and Norco, Mountain Communities, Riverside Community College, State of California, Superior Court of California and multiple residents.</t>
  </si>
  <si>
    <t>Mental Health - State Revenue received for Medi-Cal SGF, FFP, IGT in the amount of $5,775,831.66 via MHARC TCR# 13244.</t>
  </si>
  <si>
    <t>Fire Department contractual revenue from City of Beaumont, Cahuilla Band, and the Cities of Calimesa, Canyon Lake, and Palm Springs, and multiple residents. $1.6 mil via FPARC TCR# 15643.</t>
  </si>
  <si>
    <t>Sheriff Department - Contractual Revenue from City of Temecula, De Luz Community Services District, Murrieta Valley Unified School District, Temecula Valley Unified School District and the US Postal Inspection Service.</t>
  </si>
  <si>
    <t>z-67</t>
  </si>
  <si>
    <t>AP02745222</t>
  </si>
  <si>
    <t>AR02745049</t>
  </si>
  <si>
    <t>AR02745044</t>
  </si>
  <si>
    <t>Sheriff Department issued 152 warrants ranging from $4.91 to $1,351,660. $1.3mil payment to Hexagon Intergraph Corp. for an IT purchase via SHARC v# 00622400.</t>
  </si>
  <si>
    <t>FY2026 Tax Revenue Anticipation Note</t>
  </si>
  <si>
    <t>Executive Office - Principal TRANS Payment via EOARC TCR 13754.</t>
  </si>
  <si>
    <t>Environmental Health Revenue. $1,953,426.71 received via EHARC TCR 33434.</t>
  </si>
  <si>
    <t>a-68</t>
  </si>
  <si>
    <t>AR02745418</t>
  </si>
  <si>
    <t>AR02745417</t>
  </si>
  <si>
    <t>AR02745350</t>
  </si>
  <si>
    <t>AR02745360</t>
  </si>
  <si>
    <t>0002741207</t>
  </si>
  <si>
    <t>0002737962</t>
  </si>
  <si>
    <t>0002740844</t>
  </si>
  <si>
    <t>0002737237</t>
  </si>
  <si>
    <t>0002745017</t>
  </si>
  <si>
    <t>0002737260</t>
  </si>
  <si>
    <t>To record FY 2025/26 COWCAP Billing for Non-Governmental fund charges. Details on file with Maria Perez @ micro 5-3821</t>
  </si>
  <si>
    <t>GL FY25-26 PY SUP DEC</t>
  </si>
  <si>
    <t>To record FY 2025/26 COWCAP Billings for Non-GF Governmental Fund charges. Details on file with Maria Perez @ micro 5-3821</t>
  </si>
  <si>
    <t>Mental Health - State Revenue received for Medi-Cal SGF, FFP, IGT via MHARC TCR# 13249.</t>
  </si>
  <si>
    <t>Mental Health - State Revenue received for Medi-Cal Non-Perinatal and Perinatal Services via MHARC TCR# 13243.</t>
  </si>
  <si>
    <t>FY26 Department of Public Health State Revenue via HSARC TCR # 135052.</t>
  </si>
  <si>
    <t>755918/755920/755921/755923</t>
  </si>
  <si>
    <t>FY26 PY SUP Dec</t>
  </si>
  <si>
    <t>b-68</t>
  </si>
  <si>
    <t>AP02745943</t>
  </si>
  <si>
    <t>0002745725</t>
  </si>
  <si>
    <t>0002742645</t>
  </si>
  <si>
    <t>0002742607</t>
  </si>
  <si>
    <t>0002742662</t>
  </si>
  <si>
    <t>0002742633</t>
  </si>
  <si>
    <t>REVENUE RECOGNITION FOR YOBG Q1 &amp; Q2</t>
  </si>
  <si>
    <t>FY26_Jul25-Dec25_Admin OVH Charges</t>
  </si>
  <si>
    <t>Recognize AB109 Revenues for FY2526 Q1</t>
  </si>
  <si>
    <t>Recognize JJCPA Revenues for FY25/26 Q1 and Q2</t>
  </si>
  <si>
    <t>FY26 Mental Health issued 26 warrants ranging from $30.44 to $483,007.70.</t>
  </si>
  <si>
    <t>FY26 YTEC-YOBG Q1 &amp; Q2</t>
  </si>
  <si>
    <t xml:space="preserve">FY26  </t>
  </si>
  <si>
    <t>Juvenile Justice Crime Prevention Act</t>
  </si>
  <si>
    <t>c-68</t>
  </si>
  <si>
    <t>AP02746315</t>
  </si>
  <si>
    <t>AP02746361</t>
  </si>
  <si>
    <t>0002746042</t>
  </si>
  <si>
    <t>GL Export 01/29/2026 Business Date</t>
  </si>
  <si>
    <t>FY26 Mental Health issued 94 warrants ranging from $19.49 to $471,714.42.</t>
  </si>
  <si>
    <t>Sheriff Department issued 134 warrants ranging from $5.98 to $497,148.20.</t>
  </si>
  <si>
    <t>January 2026 Export</t>
  </si>
  <si>
    <t>713000/770010/770090/777510/781080</t>
  </si>
  <si>
    <t>d-68</t>
  </si>
  <si>
    <t>0002745778</t>
  </si>
  <si>
    <t>0002745770</t>
  </si>
  <si>
    <t>0002745682</t>
  </si>
  <si>
    <t>0002745697</t>
  </si>
  <si>
    <t>0002745678</t>
  </si>
  <si>
    <t>0002745680</t>
  </si>
  <si>
    <t>CalSAWS - Oasis JE for 02/02/2026</t>
  </si>
  <si>
    <t>FY26 PP03</t>
  </si>
  <si>
    <t>e-68</t>
  </si>
  <si>
    <t>FMMAIN1236</t>
  </si>
  <si>
    <t>FMCUST1001</t>
  </si>
  <si>
    <t>MAINT Svcs Feb 2026</t>
  </si>
  <si>
    <t>CUST Services Feb 2026</t>
  </si>
  <si>
    <t>FY2026 Februray Maintenance</t>
  </si>
  <si>
    <t>FY2026 Februray Custodial Services</t>
  </si>
  <si>
    <t>0002747086</t>
  </si>
  <si>
    <t>0002746073</t>
  </si>
  <si>
    <t>0002746053</t>
  </si>
  <si>
    <t>FY25/26 Prop. 172 Revenue Allocation for Public Safety-Contribution from sub fund 11039</t>
  </si>
  <si>
    <t>Prop 172 revenue Allocation</t>
  </si>
  <si>
    <t>f-68</t>
  </si>
  <si>
    <t>AP02747724</t>
  </si>
  <si>
    <t>AP02747725</t>
  </si>
  <si>
    <t>AR02747516</t>
  </si>
  <si>
    <t>AR02747515</t>
  </si>
  <si>
    <t>FY26 Mental Health issued 78 warrants ranging from $15.02 to $400,160.21</t>
  </si>
  <si>
    <t>FY26 Mental Health issued 37 warrants ranging from $50.59 to $495,375.00</t>
  </si>
  <si>
    <t xml:space="preserve">Sheriff Department - Contractual Revenue from the City of Temecula, Federal Bureau of Investigations,and Temecula Valley USD. $2.8 mil from City of Temecula via SHARC TCR# 70157 </t>
  </si>
  <si>
    <t>Sheriff Department - Contractual Revenue from the City of Perris, Department of State Hospitals, Nuview Union SD, Perris Union High SD, and Ritchie Bros. Auctions. $4.8 mil via SHARC TCR# 70146</t>
  </si>
  <si>
    <t>g-68</t>
  </si>
  <si>
    <t>AP02748159</t>
  </si>
  <si>
    <t>AP02748160</t>
  </si>
  <si>
    <t>AR02747983</t>
  </si>
  <si>
    <t>AR02747957</t>
  </si>
  <si>
    <t>0002746807</t>
  </si>
  <si>
    <t>0002746810</t>
  </si>
  <si>
    <t>0002746060</t>
  </si>
  <si>
    <t>0002746799</t>
  </si>
  <si>
    <t>FY26 Mental Health issued 94 warrants ranging from $16.99 to $457,433.31.</t>
  </si>
  <si>
    <t>FY26 Mental Health issued 52 warrants ranging from $8.82 to $416,613.90.</t>
  </si>
  <si>
    <t>Fire Department - Fire Protection Contractual Revenue from the City of Indio.</t>
  </si>
  <si>
    <t>Sheriff Department - Contractual Revenue from the City of Coachella, Federal Bureau of Investigations, March Joint Powers Authority, and Mt San Jacinto Community College.</t>
  </si>
  <si>
    <t>h-68</t>
  </si>
  <si>
    <t>AR02748347</t>
  </si>
  <si>
    <t>AR02748331</t>
  </si>
  <si>
    <t>0002747936</t>
  </si>
  <si>
    <t>0002747884</t>
  </si>
  <si>
    <t>0002747937</t>
  </si>
  <si>
    <t>0002745708</t>
  </si>
  <si>
    <t>0002744602</t>
  </si>
  <si>
    <t>FY25/26 Landfill Lease Payment per Agenda Item 12-2c 11/26/13</t>
  </si>
  <si>
    <t>RCLSS - Land Use Fees -Cities Franchise Area 8 Assessments for CR&amp;R
 GL Export-FY25-26 CY SEC SS1
JE0002743087 01/22/2026</t>
  </si>
  <si>
    <t>CalSAWS - Oasis JE for 01/28/2026</t>
  </si>
  <si>
    <t>230100/777120/779040/779110/779145/781360</t>
  </si>
  <si>
    <t>Fire Department - Fire Protection Contractual Revenue from the Cities of Indio, Murrieta, Wildomar, and US Metals, Wawanesa, First Acceptance, Allstate, and multiple residents.</t>
  </si>
  <si>
    <t>Sheriff Department - Contractual Revenue from the Alvord Unified School District, Cities of Eastvale, Jurupa Valley, and Norco, and Corona-Norco Unified School District, Jurupa Community Services District, Jurupa Unified School District, Norco High School and Roosevelt High School.</t>
  </si>
  <si>
    <t>FY25/26 Lease Payment</t>
  </si>
  <si>
    <t>750740/755917/755918/760000/761000</t>
  </si>
  <si>
    <t>Reclass of Land Use Fees from FY5-26 CY SEC SS1</t>
  </si>
  <si>
    <t>i-68</t>
  </si>
  <si>
    <t>AP02748881</t>
  </si>
  <si>
    <t>AP02748882</t>
  </si>
  <si>
    <t>AR02748700</t>
  </si>
  <si>
    <t>AR02748666</t>
  </si>
  <si>
    <t>AR02748665</t>
  </si>
  <si>
    <t>0002748576</t>
  </si>
  <si>
    <t>0002746108</t>
  </si>
  <si>
    <t>FMPBH26071</t>
  </si>
  <si>
    <t>0002746114</t>
  </si>
  <si>
    <t>0002746086</t>
  </si>
  <si>
    <t>0002744957</t>
  </si>
  <si>
    <t>Advance to Revenue-February 2026</t>
  </si>
  <si>
    <t>FY25-26 Feb Property Insurance</t>
  </si>
  <si>
    <t>FY25/26-Jan Proj Billings</t>
  </si>
  <si>
    <t>FY25-26 Feb - Worker's Compensation</t>
  </si>
  <si>
    <t>FY25-26 Feb General/Auto Liability Insurance</t>
  </si>
  <si>
    <t>CalSAWS - Oasis JE for 01/29/2026</t>
  </si>
  <si>
    <t>FY26 Mental Health issued 10 warrants ranging from $15.28 to $1,498,913.06. $1.4mil payment to MFI Recovery Center via MHARC V# 00352520.</t>
  </si>
  <si>
    <t>FY26 Mental Health issued 24 warrants ranging from $0.01 to $611,291.46.</t>
  </si>
  <si>
    <t>Mental Health - State Revenue received for BH Connect via MHARC TCR# 13260.</t>
  </si>
  <si>
    <t>Sheriff Department - Contractual Revenue from the City of La Quinta.</t>
  </si>
  <si>
    <t>Sheriff Department - Contractual Revenue from Agua Caliene Band of Cahuilla Indians, Agua Caliente Casino, the Cities of Indian Wells and Rancho Mirage, Palm Springs Unified School District, SoCal Arena Co, and The Living Desert Zoo and Gardens.</t>
  </si>
  <si>
    <t>FY26 Property Insurance Period 8</t>
  </si>
  <si>
    <t>522310/523300/537040/537280/537320</t>
  </si>
  <si>
    <t>FY2026 December Project Billings</t>
  </si>
  <si>
    <t>FY26 Worker's Comp Period 8</t>
  </si>
  <si>
    <t>FY26 General/Auto Liability Insurance Period 8</t>
  </si>
  <si>
    <t>j-68</t>
  </si>
  <si>
    <t>AP02749309</t>
  </si>
  <si>
    <t>ITACCS2608</t>
  </si>
  <si>
    <t>RCIT Enterprise Services February 2026
M.O. 3.12, 1-14-2025</t>
  </si>
  <si>
    <t>FY26 Mental Health issued 62 warrants ranging from $11.84 to $373,983.08.</t>
  </si>
  <si>
    <t>FY2026 February RCIT Service</t>
  </si>
  <si>
    <t>FY2026 January RCIT Service</t>
  </si>
  <si>
    <t>k-68</t>
  </si>
  <si>
    <t>AP02749772</t>
  </si>
  <si>
    <t>AP02749771</t>
  </si>
  <si>
    <t>Mental Health issued 17 warrants ranging from $3,135 to $356,774.14.</t>
  </si>
  <si>
    <t>Mental Health issued 96 warrants ranging from $21.42 to $101,545.01.</t>
  </si>
  <si>
    <t>0002749072</t>
  </si>
  <si>
    <t>FY26 2nd Qtr OOC General Fund
Revenue Distribution</t>
  </si>
  <si>
    <t>FY26 2nd Qtr</t>
  </si>
  <si>
    <t>l-68</t>
  </si>
  <si>
    <t>AR02749956</t>
  </si>
  <si>
    <t>0002749559</t>
  </si>
  <si>
    <t>Board Item dated 12/9/2025 ID #29235. Transfer of Property Tax Unclaimed Refunds to the General Fund</t>
  </si>
  <si>
    <t>Sheriff Department - California Dept of ABC, CHP Academy-South, City of Canyon Lake, City of Wildomar, Dept of Consumer Affairs, and Lake Elsinore SD</t>
  </si>
  <si>
    <t>Unclaimed Property BOS 12/09/25 ID#29235</t>
  </si>
  <si>
    <t>m-68</t>
  </si>
  <si>
    <t>AR02750310</t>
  </si>
  <si>
    <t>0002749930</t>
  </si>
  <si>
    <t>0002747897</t>
  </si>
  <si>
    <t>0002747881</t>
  </si>
  <si>
    <t>0002749923</t>
  </si>
  <si>
    <t>0002747931</t>
  </si>
  <si>
    <t>0002748972</t>
  </si>
  <si>
    <t>0002747914</t>
  </si>
  <si>
    <t>0002748968</t>
  </si>
  <si>
    <t xml:space="preserve">FY2026 Tax Anticipation Note </t>
  </si>
  <si>
    <t>FY26 TRANS Interest Revenue via EOARC TCR 13758</t>
  </si>
  <si>
    <t>755917/755918</t>
  </si>
  <si>
    <t>FY26 PP04</t>
  </si>
  <si>
    <t>n-68</t>
  </si>
  <si>
    <t>AP02751070</t>
  </si>
  <si>
    <t>AP02751069</t>
  </si>
  <si>
    <t>AR02750818</t>
  </si>
  <si>
    <t>AR02750812</t>
  </si>
  <si>
    <t>FLT012026</t>
  </si>
  <si>
    <t>FMREAL0829</t>
  </si>
  <si>
    <t>FY26 FLEET MONTHLY BILLING PER 7 JANUARY FY26.</t>
  </si>
  <si>
    <t>0326 Payable Lease</t>
  </si>
  <si>
    <t>FY26 January 2026</t>
  </si>
  <si>
    <t>Auditor-Controller's Office - State Board of Equalization Local Sales Tax Revenue via ACARC TCR# 41976</t>
  </si>
  <si>
    <t>Sheriff Department - Contractual Revenue from City of San Jacinto, LEAPS, San Jacinto USD, San Jacinto Valley Academy . $1.15 and $1.11 mil from City of San Jacinto via SHARC TCR# 70230</t>
  </si>
  <si>
    <t>520330/520800/520820/526700/526730</t>
  </si>
  <si>
    <t>FY26 Mental Health issued 46 warrants ranging from $11.58 to $478,367.57.</t>
  </si>
  <si>
    <t>FY26 Mental Health issued 65 warrants ranging from $14.11 to $281,865.</t>
  </si>
  <si>
    <t>FY26 Fleet Services January 2026</t>
  </si>
  <si>
    <t>FY2026 March Lease</t>
  </si>
  <si>
    <t>o-68</t>
  </si>
  <si>
    <t>AP02751494</t>
  </si>
  <si>
    <t>AP02751414</t>
  </si>
  <si>
    <t>AR02751267</t>
  </si>
  <si>
    <t>0002750739</t>
  </si>
  <si>
    <t>Executive Office
CIP - RSO Projects - Claim #28</t>
  </si>
  <si>
    <t>FY26 Mental Health issued 104 warrants ranging from $7.12 to $910,100.</t>
  </si>
  <si>
    <t>Executive Office issued 12 warrants amounts ranging between $504 to $528,075.</t>
  </si>
  <si>
    <t>Sheriff Department - Contractual Revenue from City of Coachella, City of Eastvale, City of Jurupa Valley, City of Norco, Corona USD, Dept of State Hospitals, Hemet USD, Soboba Band Indians . $1.7 mil from City of Jurupa Valley and $1.01 mil from City of Eastvale via SHARC TCR# 70253.</t>
  </si>
  <si>
    <t>p-68</t>
  </si>
  <si>
    <t>AR02751693</t>
  </si>
  <si>
    <t>0002748970</t>
  </si>
  <si>
    <t>751401/767185/767186</t>
  </si>
  <si>
    <t>Mental Health - State Revenue received for Medi-Cal Non-Perinatal and Perinatal Services. $1,304,266.98 via MHARC TCR# 13271.</t>
  </si>
  <si>
    <t>q-68</t>
  </si>
  <si>
    <t>AR02752032</t>
  </si>
  <si>
    <t>AR02752026</t>
  </si>
  <si>
    <t>0002750691</t>
  </si>
  <si>
    <t>FY25/26 ERAF VLF 1st Payment in January 2026 GASB84</t>
  </si>
  <si>
    <t>State Revenue for Mental Health Block Grant FY26 Q2</t>
  </si>
  <si>
    <t>FY26 Mental Health - State Revenue for Mental Health Community Health Block Grant (MHBG) Q2 Claim revenue in the amount of $1,026,803 via MHARC TCR# 13276.</t>
  </si>
  <si>
    <t>Mental Health - State Revenue received for Medi-Cal SGF, FFP, IGT in the amount of $25,406,748.65 via MHARC TCR# 13262.</t>
  </si>
  <si>
    <t>751401/751402/751600/767181/767182/767185/767186</t>
  </si>
  <si>
    <t xml:space="preserve">FY26 1st Pymt </t>
  </si>
  <si>
    <t>r-68</t>
  </si>
  <si>
    <t>AR02752375</t>
  </si>
  <si>
    <t>AR02752356</t>
  </si>
  <si>
    <t>AR02752352</t>
  </si>
  <si>
    <t>0002751220</t>
  </si>
  <si>
    <t>0002749905</t>
  </si>
  <si>
    <t>0002749933</t>
  </si>
  <si>
    <t>PSAF - 1/2% Sales Tax Distribution Feb 2026.</t>
  </si>
  <si>
    <t xml:space="preserve">Emergency Management Dept. Revenue from various sources via EMARC TCR# 7729. </t>
  </si>
  <si>
    <t>FY26 February 2026</t>
  </si>
  <si>
    <t>FY26 Auditor-Controller's Office State Revenue for VLF realignment. $1,466,546.92 for Public Health VLF and $1,071,616.76 for Social Services VLF for a total of $2,538,163.68 via ACARC TCR# 41994.</t>
  </si>
  <si>
    <t>PSAF - February 2026</t>
  </si>
  <si>
    <t>s-68</t>
  </si>
  <si>
    <t>0002750177</t>
  </si>
  <si>
    <t>0002751226</t>
  </si>
  <si>
    <t>0002751221</t>
  </si>
  <si>
    <t>0002751230</t>
  </si>
  <si>
    <t>0002751228</t>
  </si>
  <si>
    <t>0002750267</t>
  </si>
  <si>
    <t>0002751602</t>
  </si>
  <si>
    <t>0002751933</t>
  </si>
  <si>
    <t>New Allocation. Realignment 1 - Transfer February 2026 Realignment Revenue for Sales Tax to Soc. Services - GF Operating Accounts.</t>
  </si>
  <si>
    <t>Realignment 2 - Transfer Feb 2026 Sales Tax, State Hospital Offset and Managed Care Offset from Mental Health sub-fund deferred revenue account to GF operating account.</t>
  </si>
  <si>
    <t>Trial Court Security for February 2026.</t>
  </si>
  <si>
    <t>Realignment - Transfer February 2026 Realignment Revenue for VLF to Public Health GF Operating Accounts.</t>
  </si>
  <si>
    <t>V#63697 Crayon Software, INV3175951, VARIOUS DEPTS - Microsoft EA AGREEMENT YR 2</t>
  </si>
  <si>
    <t>CalSAWS - Oasis JE for 02/25/2026</t>
  </si>
  <si>
    <t>CalSAWS - Oasis JE for 02/26/2026</t>
  </si>
  <si>
    <t>Realignment 1 - February 2026</t>
  </si>
  <si>
    <t>Realignment 2 - February 2026</t>
  </si>
  <si>
    <t>February 2026</t>
  </si>
  <si>
    <t>VLF February 2026</t>
  </si>
  <si>
    <t>FY26 Crayon Software Agreement</t>
  </si>
  <si>
    <t>t-68</t>
  </si>
  <si>
    <t>AP02753335</t>
  </si>
  <si>
    <t>AP02753334</t>
  </si>
  <si>
    <t>0002752795</t>
  </si>
  <si>
    <t>0002752805</t>
  </si>
  <si>
    <t>0002752299</t>
  </si>
  <si>
    <t>To move funds from fund 65950- Trans Rpyt to fund 10000-General Fund</t>
  </si>
  <si>
    <t>FY26 Repayment of Advance to cover POB full payment to 35200</t>
  </si>
  <si>
    <t>FY25-26 March - Worker's Compensation
Board approved on 1/14/25 - 3.10</t>
  </si>
  <si>
    <t>FY26 Mental Health issued 103 warrants ranging from $8.01 to $546,960.</t>
  </si>
  <si>
    <t>FY26 Mental Health issued 93 warrants ranging from $8.76 to $266,990.90.</t>
  </si>
  <si>
    <t>Trans Repayment Fund contribution to GF</t>
  </si>
  <si>
    <t>FY26 Worker's Comp Period 9</t>
  </si>
  <si>
    <t>u-68</t>
  </si>
  <si>
    <t>AP02753627</t>
  </si>
  <si>
    <t>AP02753705</t>
  </si>
  <si>
    <t>AP02753706</t>
  </si>
  <si>
    <t>AR02753539</t>
  </si>
  <si>
    <t>0002752285</t>
  </si>
  <si>
    <t>0002752703</t>
  </si>
  <si>
    <t>0002752699</t>
  </si>
  <si>
    <t>FY25-26 March Property Insurance
Board Approved 1/14/25. Item 3.10-26888</t>
  </si>
  <si>
    <t>FY26 Mental Health issued 33 warrants ranging from $20.34 to $1,691,489.72. $1.6mil payment to MFI Recovery Center via MHARC V# 00353165</t>
  </si>
  <si>
    <t>55800/various</t>
  </si>
  <si>
    <t>FY26 Mental Health issued 18 warrants ranging from $630 to $350,000</t>
  </si>
  <si>
    <t>Sheriff Department - Contractual Revenue from the City of Moreno Valley, New Journey Cremation and Rose Mortuaries and Cremation Inc.  $4mil from City of Moreno Valley via SHARC TCR# 70303</t>
  </si>
  <si>
    <t>118501/112100</t>
  </si>
  <si>
    <t>FY26 PP05</t>
  </si>
  <si>
    <t>v-68</t>
  </si>
  <si>
    <t>AP02753908</t>
  </si>
  <si>
    <t>AR02753854</t>
  </si>
  <si>
    <t>AR02753841</t>
  </si>
  <si>
    <t>FY26 Dept. of Public Social Services issued 1 warrant to UDW AFSCME for $5,623,826.65 payment for March 2026 IHSS Health Benefits via DPARC Voucher# 00216463</t>
  </si>
  <si>
    <t>Fire Department - Fire Protection Contractual Revenue from the Cities of Menifee, and Perris. FPARC TCR# 15758</t>
  </si>
  <si>
    <t>779120/779125/230100</t>
  </si>
  <si>
    <t>Sheriff Department - Contractual Revenue from the City of La Quinta and Southern Coachella Valley.  $1.08mil from City of La Quinta via SHARC TCR# 70315</t>
  </si>
  <si>
    <t>FY26 Dept. of Public Social Services issued 11 warrants with amounts ranging from $5,850 to $83,815,130.97. $83.8mil payment for IHSS MOE Services Billing via DPARC Voucher #00216397 and $6.1mil payment for February 2026 IHSS Health Benefits via DPARC Voucher# 00216095.</t>
  </si>
  <si>
    <t>w-68</t>
  </si>
  <si>
    <t>0002753462</t>
  </si>
  <si>
    <t>0002753447</t>
  </si>
  <si>
    <t>0002752715</t>
  </si>
  <si>
    <t>CalSAWS - Oasis JE for 03/02/2026</t>
  </si>
  <si>
    <t>x-68</t>
  </si>
  <si>
    <t>AR02754561</t>
  </si>
  <si>
    <t>0002752701</t>
  </si>
  <si>
    <t>208100/230100/741040/741280/771300/776500/779040/779210/779250/779290/781300</t>
  </si>
  <si>
    <t>Fire Department - Fire Protection Contractual Revenue from the Cities of Banning, Riverside, and Idyllwild and Morongo, RCC, Mountain Communities, Superior Court of CA, the State of CA, State Farm Mutual, and multiple residents. FPARC TCR# 15750 and 15751</t>
  </si>
  <si>
    <t>AP02755122</t>
  </si>
  <si>
    <t>AP02755121</t>
  </si>
  <si>
    <t>0002754477</t>
  </si>
  <si>
    <t>FMCUST1002</t>
  </si>
  <si>
    <t>FMMAIN1237</t>
  </si>
  <si>
    <t>ITACCS2609</t>
  </si>
  <si>
    <t>GL FY 25-26 CY SUP Feb</t>
  </si>
  <si>
    <t>CUST Services Mar 2026</t>
  </si>
  <si>
    <t>MAINT Svcs Mar 2026</t>
  </si>
  <si>
    <t>RCIT Enterprise Services March 2026
M.O. 3.12, 1-14-2025</t>
  </si>
  <si>
    <t>FY26 Mental Health issued 78 warrants ranging from $7.60 to $430,295.04</t>
  </si>
  <si>
    <t>FY26 Mental Health issued 109 warrants ranging from $2.97 to $597,060</t>
  </si>
  <si>
    <t>FY2026 March Custodial Services</t>
  </si>
  <si>
    <t>FY2026 March Maintenance</t>
  </si>
  <si>
    <t>FY2026 March RCIT Service</t>
  </si>
  <si>
    <t>y-68</t>
  </si>
  <si>
    <t>z-68</t>
  </si>
  <si>
    <t>AR02755380</t>
  </si>
  <si>
    <t>Sheriff Department - Contractual Revenue from the City of Perris, Lake Elsinore High School, Lake Elsinore School District, and Perris Union High School District.</t>
  </si>
  <si>
    <t>AR02755377</t>
  </si>
  <si>
    <t>FY26 Department of Public Health State Revenue in the amount of $3,037,792 via HSARC TCR # 135102.</t>
  </si>
  <si>
    <t>a-69</t>
  </si>
  <si>
    <t>AP02756254</t>
  </si>
  <si>
    <t>AP02756232</t>
  </si>
  <si>
    <t>AP02756207</t>
  </si>
  <si>
    <t>AR02756114</t>
  </si>
  <si>
    <t>AR02756081</t>
  </si>
  <si>
    <t>AR02756084</t>
  </si>
  <si>
    <t>0002747845</t>
  </si>
  <si>
    <t>0002748555</t>
  </si>
  <si>
    <t>0002753472</t>
  </si>
  <si>
    <t>0002754486</t>
  </si>
  <si>
    <t>0002751603</t>
  </si>
  <si>
    <t>FY 25/26 March 2026 Final Tax Fund Transfer
Processed by Maria Moreno 951.940.6359</t>
  </si>
  <si>
    <t>Advance to Revenue-March 2026</t>
  </si>
  <si>
    <t>To transfer cash and receivable balances to/from MCARC and record Palo Verde Hospital Loan payment to DHCS</t>
  </si>
  <si>
    <t>FY2026 2nd  Quarter</t>
  </si>
  <si>
    <t xml:space="preserve">Fire Department issued 78 warrants. Amounts of warrants range from $14.30 to $72,386,672.07.  $72.3mil payment to State of California Department of Forestry for FY26 2nd Quarter via FPARC Voucher# 00435710. </t>
  </si>
  <si>
    <t>FY26 3rd Quarter</t>
  </si>
  <si>
    <t>Executive Office issued 5 warrants with amounts ranging from $10,833.33 to $6,241,447. $6.2mil payment to State Treasurer's Office for FY 25-26 Trial Courts 3rd Quarter MOE via EOARC V#00054707.</t>
  </si>
  <si>
    <t>FY26 Department of Public Social Services issued 41 warrants ranging from $15.45 to $260,146.14.</t>
  </si>
  <si>
    <t>230100/771300/776500/779040/779230/781360</t>
  </si>
  <si>
    <t>Fire Department - Fire Protection Contractual Revenue from the Cities of Calimesa and Rancho Mirage, and Riverside Community College, Pechanga, Global Metal Recycle, State of California, Superior Court of California, and multiple residents.</t>
  </si>
  <si>
    <t>Sheriff Department - Contractual Revenue from the Cities of Indian Wells, Palm Desert and Rancho Mirage.</t>
  </si>
  <si>
    <t>FY 2026 Tax Fund Transfer</t>
  </si>
  <si>
    <t>b-69</t>
  </si>
  <si>
    <t>AP02756636</t>
  </si>
  <si>
    <t>AR02756480</t>
  </si>
  <si>
    <t>0002755243</t>
  </si>
  <si>
    <t>0002754926</t>
  </si>
  <si>
    <t>0002752257</t>
  </si>
  <si>
    <t>FY25-26 March General/Auto Liability Insurance
Board Approved on 1/14/25 Item 3.10-26888</t>
  </si>
  <si>
    <t xml:space="preserve">Fire Department issued 54 warrants. Amounts of warrants range from $17.33 to $72,386,672.07.  $72.3mil payment to State of California Department of Forestry for FY26 4th Quarter Estimate via FPARC Voucher# 00435712. </t>
  </si>
  <si>
    <t>FY2026 4th  Quarter Estimate</t>
  </si>
  <si>
    <t>Sheriff Department - Contractual Revenue from the City of San Jacinto, San Jacinto Unified School District, and San Jacinto Valley Academy.</t>
  </si>
  <si>
    <t>FY26 General/Auto Liability Insurance Period 9</t>
  </si>
  <si>
    <t>c-69</t>
  </si>
  <si>
    <t>AR02756929</t>
  </si>
  <si>
    <t>AR02756926</t>
  </si>
  <si>
    <t>Sheriff Department - Contractual Revenue from Agua Caliente Casino, the Cites of Indian Wells and Rancho Mirage, Desert Town Hall, Palm Springs Police Department, Palm Springs Unified School District, SoCal Arena, and The Gardens on el Paseo.</t>
  </si>
  <si>
    <t>FY26 Department of Public Health State Revenue via HSARC TCR # 135105.</t>
  </si>
  <si>
    <t>112100/118301/118401</t>
  </si>
  <si>
    <t>d-69</t>
  </si>
  <si>
    <t>AP02757606</t>
  </si>
  <si>
    <t>FY26 Mental Health issued 22 warrants ranging from $14.45 to $550,000.00.</t>
  </si>
  <si>
    <t>Mental Health/Other Department Issued</t>
  </si>
  <si>
    <t>AR02757429</t>
  </si>
  <si>
    <t>AR02757392</t>
  </si>
  <si>
    <t>Fire Department Contractual Revenue. City of Palm Desert FY25/26 2nd Quarter. FPARC TCR 15784.</t>
  </si>
  <si>
    <t>FY26 Department of Public Health - State Revenue via HSARC TCR # 135112.</t>
  </si>
  <si>
    <t>0002756870</t>
  </si>
  <si>
    <t>FLT022026</t>
  </si>
  <si>
    <t>0002756376</t>
  </si>
  <si>
    <t>FMREAL0831</t>
  </si>
  <si>
    <t>0002756372</t>
  </si>
  <si>
    <t>FY26 FLEET MONTHLY BILLING PER 8 FEBRUARY FY26</t>
  </si>
  <si>
    <t>0426 Payable Lease</t>
  </si>
  <si>
    <t>FY26 Fleet Services February 2026</t>
  </si>
  <si>
    <t>FY26 PP06</t>
  </si>
  <si>
    <t>FY2026 April Lease</t>
  </si>
  <si>
    <t>e-69</t>
  </si>
  <si>
    <t>AP02757920</t>
  </si>
  <si>
    <t>FY26 Mental Health issued 7 warrants ranging from $108.96 to $789,355.36</t>
  </si>
  <si>
    <t>f-69</t>
  </si>
  <si>
    <t>0002756844</t>
  </si>
  <si>
    <t>0002756447</t>
  </si>
  <si>
    <t>0002754154</t>
  </si>
  <si>
    <t>0002756816</t>
  </si>
  <si>
    <t>0002756851</t>
  </si>
  <si>
    <t>0002756374</t>
  </si>
  <si>
    <t>Sheriff's Department
Palm Desert Expansion DIF Billing
Invoice #9 BOS 3.91-6/27/23
January 2026</t>
  </si>
  <si>
    <t>FY 25/26 Admin Fee Charge for 3rd Quarter 1/1/2026-3/31/2026</t>
  </si>
  <si>
    <t>FY26 3rd Qtr.</t>
  </si>
  <si>
    <t>g-69</t>
  </si>
  <si>
    <t>AR02758648</t>
  </si>
  <si>
    <t>AR02758649</t>
  </si>
  <si>
    <t>AR02758650</t>
  </si>
  <si>
    <t>779060/230100</t>
  </si>
  <si>
    <t>779200/230100</t>
  </si>
  <si>
    <t>Fire Department Contractual Revenue from the City of Lake Elsinore FY25/26 2nd Quarter. FPARC TCR 15739</t>
  </si>
  <si>
    <t>Fire Department Contractual Revenue from the City of Coachella FY25/26 2nd Quarter. FPARC TCR 15772</t>
  </si>
  <si>
    <t>Fire Department Contractual Revenue from the Cities of Indio, San Jacinto, Wildomar, Norco, DHS, and Riverside, and Cahuilla, State of California, Superior Court of California and Multiple Residents. FY25/26 2nd Quarter. FPARC TCR 15784.</t>
  </si>
  <si>
    <t>230100/771300/779040/779100/779110/779145/779160/779270/781360</t>
  </si>
  <si>
    <t>h-69</t>
  </si>
  <si>
    <t>AP02759261</t>
  </si>
  <si>
    <t>AP02759309</t>
  </si>
  <si>
    <t>AP02759193</t>
  </si>
  <si>
    <t>AP02759262</t>
  </si>
  <si>
    <t>AR02759053</t>
  </si>
  <si>
    <t>0002758554</t>
  </si>
  <si>
    <t>Reclass Gen Fund Expenses to AB109 Fund 11167         FY25/26 Jan - Mar 2026</t>
  </si>
  <si>
    <t>FY26 Mental Health issued 67 warrants ranging from $17.34 to $426,720</t>
  </si>
  <si>
    <t>Department of Environmental Health issued 8 warrants ranging from $34.61 to $1,288,703.53.  $1.288 mil payment to Waste Management Inc. for SW property owner Delinquent WM fee via EHARC V# 00017519</t>
  </si>
  <si>
    <t>118400/755900</t>
  </si>
  <si>
    <t>Sheriff Department - Contractual Revenue from City of Temecula, Fitzhenry Funeral Home, Murrieta Valley Funeral Home, ReverentiaPopuli Inc., Rubidoux Jurupa Valley Mortuary, and Wiefels and Son P.S. $2.792 and $2.761 mil from City of Temecula via SHARC TCR# 70440</t>
  </si>
  <si>
    <t>Sheriff Department issued 211 warrants ranging from $1.05 to $1,149,902.26.  $1.149 mil payment to Vincor Construction for Palm Dessert Station dispatch expansion via SHARC V# 00629159</t>
  </si>
  <si>
    <t>FY26 Mental Health issued 63 warrants ranging from $58.35 to $254,118.38</t>
  </si>
  <si>
    <t>i-69</t>
  </si>
  <si>
    <t>AP02759665</t>
  </si>
  <si>
    <t>AP02759664</t>
  </si>
  <si>
    <t>AP02759701</t>
  </si>
  <si>
    <t>AR02759483</t>
  </si>
  <si>
    <t>AR02759476</t>
  </si>
  <si>
    <t>AR02759475</t>
  </si>
  <si>
    <t>0002757342</t>
  </si>
  <si>
    <t>Recognize JJCPA Revenues for Jan and Feb FY25/26</t>
  </si>
  <si>
    <t>FY26 Mental Health issued 15 warrants ranging from $122.32 to $833,180.</t>
  </si>
  <si>
    <t>FY26 Mental Health issued 40 warrants ranging from $19.28 to $314,490.</t>
  </si>
  <si>
    <t>Sheriff Department issued 204 warrants ranging from $258 to $358,128.24.</t>
  </si>
  <si>
    <t>Auditor-Controller's Office - State Board of Equalization Local Sales Tax Revenue via ACARC TCR# 42113.</t>
  </si>
  <si>
    <t>Sheriff Department - Contractual Revenue from the Cities of Canyon Lake, Moreno Valley, Wildomar, and the Superior Court of California.</t>
  </si>
  <si>
    <t>118401/118501</t>
  </si>
  <si>
    <t>Sheriff Department - Contractual Revenue from the Cities of Coachella, Eastvale, Jurupa Valley, and the Department of State Hospitals, Jurupa Community Services District, Jurupa Unified School District, and Norco High School.</t>
  </si>
  <si>
    <t>j-69</t>
  </si>
  <si>
    <t>AR02759781</t>
  </si>
  <si>
    <t>FY26 Department of Public Health - State Revenue via HSARC # 135123</t>
  </si>
  <si>
    <t>0002758038</t>
  </si>
  <si>
    <t>0002758037</t>
  </si>
  <si>
    <t>k-69</t>
  </si>
  <si>
    <t>AP02760272</t>
  </si>
  <si>
    <t>FY26 Mental Health issued 39 warrants from $4.60 to $471,333.21.</t>
  </si>
  <si>
    <t>AR02760081</t>
  </si>
  <si>
    <t>FY26 Auditor-Controller's Office - State Revenue from Public Health &amp; DPSS VLF Realignment. ACARC TCR # 42127</t>
  </si>
  <si>
    <t>FY26 March 2026</t>
  </si>
  <si>
    <t>INTQ226ACR</t>
  </si>
  <si>
    <t>0002752794</t>
  </si>
  <si>
    <t>0002757293</t>
  </si>
  <si>
    <t>0002757994</t>
  </si>
  <si>
    <t>0002757749</t>
  </si>
  <si>
    <t>Q2 2026 INT ACRL</t>
  </si>
  <si>
    <t>Recognize AB109 Revenues for FY2526 Q2</t>
  </si>
  <si>
    <t>Recognize AB109 Revenues for Jan and Feb FY2526</t>
  </si>
  <si>
    <t>Recognize Revenue for CCPIA FY25/26 Q2</t>
  </si>
  <si>
    <t>Recognize Revenue for CCPIA FY25/26 Q1</t>
  </si>
  <si>
    <t>FY26 2nd Qtr Accrual</t>
  </si>
  <si>
    <t>FY26  January-Febreuary</t>
  </si>
  <si>
    <t>Probation Revenue - CCPIA 1st QTR</t>
  </si>
  <si>
    <t>Probation Revenue - CCPIA 2nd QTR</t>
  </si>
  <si>
    <t>l-69</t>
  </si>
  <si>
    <t>AP02760617</t>
  </si>
  <si>
    <t>FY26 Mental Health issued 27 warrants ranging from $6.80 to $663,985.60.</t>
  </si>
  <si>
    <t>0002759735</t>
  </si>
  <si>
    <t>0002758499</t>
  </si>
  <si>
    <t>0002759412</t>
  </si>
  <si>
    <t>0002756830</t>
  </si>
  <si>
    <t>0002759419</t>
  </si>
  <si>
    <t>0002758446</t>
  </si>
  <si>
    <t>0002754513</t>
  </si>
  <si>
    <t>0002759996</t>
  </si>
  <si>
    <t>PSAF - 1/2% Sales Tax Distribution March 2026.</t>
  </si>
  <si>
    <t>Realignment Revenue thru FY2526 Q3</t>
  </si>
  <si>
    <t>New Allocation. Realignment 1 - Transfer March 2026 Realignment Revenue for Sales Tax to Soc. Services - GF Operating Accounts.</t>
  </si>
  <si>
    <t>Revenue Recognition for JJRBG FY2526 Q1 &amp; Q2.  Direct and Indirect Costs</t>
  </si>
  <si>
    <t>Realignment 2 - Transfer March 2026 Sales Tax, State Hospital Offset and Managed Care Offset from Mental Health sub-fund deferred revenue account to GF operating account.</t>
  </si>
  <si>
    <t>Recognize Revenue YTEC-YOBG  and YOBG-Aftercare for Jan and Feb 2026</t>
  </si>
  <si>
    <t>Trial Court Security for March 2026.</t>
  </si>
  <si>
    <t>PSAF - March 2026</t>
  </si>
  <si>
    <t>Realignment 1 - March 2026</t>
  </si>
  <si>
    <t>JJRBG</t>
  </si>
  <si>
    <t>Realignment 2 - March 2026</t>
  </si>
  <si>
    <t>FY26 YTEC-YOBG and YOBG Aftercare January and February</t>
  </si>
  <si>
    <t>00R2710907</t>
  </si>
  <si>
    <t>Reverse JE #0002710907 FY2526 IEHP Reclass from Org to Dept ID - July 2025</t>
  </si>
  <si>
    <t>Reversal -IEHP Reclass to ECM Outreach 07/2025</t>
  </si>
  <si>
    <t>m-69</t>
  </si>
  <si>
    <t>AP02760927</t>
  </si>
  <si>
    <t>AR02760807</t>
  </si>
  <si>
    <t>AR02760779</t>
  </si>
  <si>
    <t>AR02760804</t>
  </si>
  <si>
    <t>AR02760780</t>
  </si>
  <si>
    <t>AR02760803</t>
  </si>
  <si>
    <t>0002758444</t>
  </si>
  <si>
    <t>JJRBG Revenue Recognition  for Jan and Feb 2026</t>
  </si>
  <si>
    <t>FY26 Mental Health issued 126 warrants ranging from $307.36 to $154,650.</t>
  </si>
  <si>
    <t>FY26 Mental Health - Revenue from IEHP for Enchanced Care Management (ECM) Services in the amount of $1,000,000 via MHARC TCR# 13301.</t>
  </si>
  <si>
    <t>IEHP-ECM Revenue</t>
  </si>
  <si>
    <t>Fire Department - Fire Protection Contractual Revenue from the City of Coachella.</t>
  </si>
  <si>
    <t>FY26 Mental Health - State Revenue for Providing Access and Transforming Health (PATH) Services via MHARC TCR# 13290.</t>
  </si>
  <si>
    <t>Mental Health State Revenue for PATH</t>
  </si>
  <si>
    <t>Fire Department - Fire Protection Contractual Revenue from the Cities of Eastvale and Jurupa Valley, and Rubidoux Community, State of California, Superior Court of California, and a resident.</t>
  </si>
  <si>
    <t>Mental Health - State Revenue received for Medi-Cal SGF, FFP, IGT, Non-Perinatal and Perinatal Services in the amount of $32,978,630.69 via MHARC TCR# 13284.</t>
  </si>
  <si>
    <t>JJRBG FY26 Jan-Feb</t>
  </si>
  <si>
    <t>n-69</t>
  </si>
  <si>
    <t>AR02761088</t>
  </si>
  <si>
    <t>AR02761101</t>
  </si>
  <si>
    <t>Sheriff Department contractual revenue from the City of Moreno Valley and Palo Verde Unified School District. $4.88 mil from the City of Moreno Valley on SHARC TCR # 70500</t>
  </si>
  <si>
    <t>Fire Department Contractual Revenue. City of Temecula and City of Moreno Valley FY25/26 2nd Quarter.  $2,062,846.72 from the City of Temecula and $7,369,742.38 from the City of Moreno Valley. FPARC TCR # 15821</t>
  </si>
  <si>
    <t>FMCUST1003</t>
  </si>
  <si>
    <t>0002759022</t>
  </si>
  <si>
    <t>0002760351</t>
  </si>
  <si>
    <t>0002760347</t>
  </si>
  <si>
    <t>0002760349</t>
  </si>
  <si>
    <t>CUST Services Apr 2026</t>
  </si>
  <si>
    <t>FY25-26 Apr Property Insurance</t>
  </si>
  <si>
    <t>FY2026 April Custodial Services</t>
  </si>
  <si>
    <t>FY26 Property Insurance Period 10</t>
  </si>
  <si>
    <t>FY26 PP07</t>
  </si>
  <si>
    <t>o-69</t>
  </si>
  <si>
    <t>AP02761362</t>
  </si>
  <si>
    <t>AP02761361</t>
  </si>
  <si>
    <t>AR02761312</t>
  </si>
  <si>
    <t>FY26 4th Qtr/ Executive Office JPA Revenue Sharing Agreement City of Moreno Valley and Perris</t>
  </si>
  <si>
    <t>The Exceutive Office issued 16 warrants ranging from $256.05 to $1,387,063. $1.3mil paid to the City of Riverside for March Joint Powers Authority (JPA) sales tax sharing agreement. Voucher EOARC 00054844</t>
  </si>
  <si>
    <t>The Exceutive Office issued 17 warrants ranging from $36.43 to $1,759,612. $1.7mil paid to the City of Moreno Valley and $1.3mil paid to city of Perris for March Joint Powers Authority (JPA) sales tax sharing agreement. Vouchers EOARC 00054838 and 00054846 respectively.</t>
  </si>
  <si>
    <t>FY26 4th Qtr/ Executive Office JPA Revenue Sharing Agreement City of Riverside</t>
  </si>
  <si>
    <t>Sheriff Department contractual revenue from the City of La Quinta, Desert Sands USD, FBI Safe Street Tasks Force, Forest Lawn Memorial Prks &amp; Mort., Scope Events, and Southern Coachella Valley. $1.1 mil from City of La Quinta on SHARC TCR # 70521</t>
  </si>
  <si>
    <t>p-69</t>
  </si>
  <si>
    <t>AP02761995</t>
  </si>
  <si>
    <t>FY26 Department of Public Social Services issued 5 warrants ranging from $38.44 to $9,312,111.92.  $9.3 mil payment for IHSS MOE Services Billing via DPARC voucher# 00217016</t>
  </si>
  <si>
    <t>DPSS-IHSS-MOE Services Billing</t>
  </si>
  <si>
    <t>q-69</t>
  </si>
  <si>
    <t>AP02762360</t>
  </si>
  <si>
    <t>AP02762442</t>
  </si>
  <si>
    <t>FY26 Dept. of Public Social Services issued 5 warrants ranging from $28.50 to $5,960,054.88.  $5.9mil paid to UDW AFSCME for April 2026 IHSS Health Benefits via DPARC Voucher# 00217031</t>
  </si>
  <si>
    <t>FY26 Mental Health issued 69 warrants ranging from $23.03 to $576,433.89</t>
  </si>
  <si>
    <t>r-69</t>
  </si>
  <si>
    <t>0002762563</t>
  </si>
  <si>
    <t>GF Contributions Community &amp; Housing Development for Lift to Rise FY25/26</t>
  </si>
  <si>
    <t>General Fund Contribution to Life to Rise</t>
  </si>
  <si>
    <t>General Fund Contribution to Community &amp; Housing Development</t>
  </si>
  <si>
    <t>s-69</t>
  </si>
  <si>
    <t>AP02763173</t>
  </si>
  <si>
    <t>AR02763006</t>
  </si>
  <si>
    <t>Sheriff Department issued 211 warrants ranging from $6.34 to $469,617.47.</t>
  </si>
  <si>
    <t>777120/779040/779180/781360</t>
  </si>
  <si>
    <t>Fire Department - Fire Protection Contractual Revenue from the City of Beaumont, State of California, Mercury Insurance, Superior Court of California, and multiple residents.</t>
  </si>
  <si>
    <t>t-69</t>
  </si>
  <si>
    <t>AR02763308</t>
  </si>
  <si>
    <t>AR02763292</t>
  </si>
  <si>
    <t>0002762619</t>
  </si>
  <si>
    <t>GL FY 25-26 CY SEC SA2</t>
  </si>
  <si>
    <t>FY25-26 Secured Advance 2 - CY SEC SA2</t>
  </si>
  <si>
    <t>Advance to Revenue-April 2026</t>
  </si>
  <si>
    <t>u-69</t>
  </si>
  <si>
    <t>AP02763954</t>
  </si>
  <si>
    <t>AP02763953</t>
  </si>
  <si>
    <t>AR02763718</t>
  </si>
  <si>
    <t>0002763251</t>
  </si>
  <si>
    <t>0002763245</t>
  </si>
  <si>
    <t>0002762613</t>
  </si>
  <si>
    <t>FMMAIN1238</t>
  </si>
  <si>
    <t>0002760017</t>
  </si>
  <si>
    <t>0002759027</t>
  </si>
  <si>
    <t>ITACCS2610</t>
  </si>
  <si>
    <t>0002759002</t>
  </si>
  <si>
    <t>0002760988</t>
  </si>
  <si>
    <t>0002760000</t>
  </si>
  <si>
    <t>0002760002</t>
  </si>
  <si>
    <t>MAINT Svcs Apr 2026</t>
  </si>
  <si>
    <t>GF Contribution to CREST
FY 2025/2026</t>
  </si>
  <si>
    <t>FY25-26 April - Worker's Compensation
 Board Approved 1.14.25 - 3.10</t>
  </si>
  <si>
    <t>RCIT Enterprise Services April 2026
M.O. 3.12, 1-14-2025</t>
  </si>
  <si>
    <t>FY25-26 April General/Auto Liability Insurance
Board Approved on 1/14/25 Item 3.10-26888</t>
  </si>
  <si>
    <t>CalSAWS - Oasis JE for 04/01/2026</t>
  </si>
  <si>
    <t>CalSAWS - Oasis JE for 03/27/2026</t>
  </si>
  <si>
    <t>CalSAWS - Oasis JE for 03/28/2026</t>
  </si>
  <si>
    <t>Sheriff Department issued 21 warrants ranging from $17.23 to $1,435,588.13. $1.4mil payment to Axon Enterprise for Tasers via SHARC V# 00632697.</t>
  </si>
  <si>
    <t xml:space="preserve">Sheriff's Issued Warrants - Axon Enterprise </t>
  </si>
  <si>
    <t>Sheriff Department issued 21 warrants ranging from $18.45 to $1,149,748.93. $1.1mil payment to Vincor Construction Inc. for the modernization of the SCF Kitchen via SHARC V# 00632529.</t>
  </si>
  <si>
    <t>Vincor Construction</t>
  </si>
  <si>
    <t>FY26 Board of Supervisors Revenue. $1,049,996.36 via BDARC TCR# 1357.</t>
  </si>
  <si>
    <t>FY2026 April Maintenance</t>
  </si>
  <si>
    <t>FY26 Worker's Comp Period 10</t>
  </si>
  <si>
    <t>FY2026 April RCIT Service</t>
  </si>
  <si>
    <t>FY26 General/Auto Liability Insurance Period 10</t>
  </si>
  <si>
    <t>v-69</t>
  </si>
  <si>
    <t>0002763685</t>
  </si>
  <si>
    <t>DHS Billing Summary Charges for FY2026
Correctional Health Care Services is Budgeted to pay
RUHS Medical Center $21,100,000.00 per fiscal year 
for services provided.</t>
  </si>
  <si>
    <t>FY26 Payment to RUHS Medical Center</t>
  </si>
  <si>
    <t>w-69</t>
  </si>
  <si>
    <t>AP02764699</t>
  </si>
  <si>
    <t>FY26 Mental Health issued 61 warrants ranging from $31.90 to $520,186.94</t>
  </si>
  <si>
    <t>AR02764518</t>
  </si>
  <si>
    <t>FY26 Board of Supervisors Revenue. $5,120,536.72 via BDARC TCR# 1354.</t>
  </si>
  <si>
    <t>Board of Supervisors Revenue- Edison Franchise per Ordinance 684</t>
  </si>
  <si>
    <t>FLT032026</t>
  </si>
  <si>
    <t>0002764083</t>
  </si>
  <si>
    <t>FY26 FLEET MONTHLY BILLING PER 9 MARCH FY26</t>
  </si>
  <si>
    <t>Reclassification of DCARC TCR#5574</t>
  </si>
  <si>
    <t>FY26 Fleet Services March 2026</t>
  </si>
  <si>
    <t>Reclass of TCR DCARC TCR# 5574</t>
  </si>
  <si>
    <t>x-69</t>
  </si>
  <si>
    <t>AP02764928</t>
  </si>
  <si>
    <t xml:space="preserve">Executive Office issued 14 warrants with amounts ranging from $224.91 to $528,075. </t>
  </si>
  <si>
    <t>y-69</t>
  </si>
  <si>
    <t>AP02765315</t>
  </si>
  <si>
    <t>AR02765138</t>
  </si>
  <si>
    <t>AR02765143</t>
  </si>
  <si>
    <t>0002761018</t>
  </si>
  <si>
    <t>0002764481</t>
  </si>
  <si>
    <t>0002763585</t>
  </si>
  <si>
    <t>0002763581</t>
  </si>
  <si>
    <t>0002763583</t>
  </si>
  <si>
    <t>FY26 Mental Health issued 147 warrants ranging from $4.22 to $427,528.58</t>
  </si>
  <si>
    <t>FY26 Department of Public Health - State Revenue via HSARC # 135141</t>
  </si>
  <si>
    <t>Sheriff Department contractual revenue from the City of Palm Desert and Thomas Miller Mortuary. $1.760 &amp; 1.701 mil from City of Palm Desert on SHARC TCR # 70636</t>
  </si>
  <si>
    <t>General Fund Contribution to RivCoONE</t>
  </si>
  <si>
    <t>FY26 PP08</t>
  </si>
  <si>
    <t>z-69</t>
  </si>
  <si>
    <t>AR02765579</t>
  </si>
  <si>
    <t>0002764482</t>
  </si>
  <si>
    <t>0002764449</t>
  </si>
  <si>
    <t>0002764472</t>
  </si>
  <si>
    <t>0002764493</t>
  </si>
  <si>
    <t>0002764415</t>
  </si>
  <si>
    <t>0002763642</t>
  </si>
  <si>
    <t>0002765414</t>
  </si>
  <si>
    <t>FMREAL0834</t>
  </si>
  <si>
    <t>To record Clinical Services MOU Cost for Q1-Q2 FY2526</t>
  </si>
  <si>
    <t>Mar 2026 Chargeback</t>
  </si>
  <si>
    <t>FY2026 AB199 Tobbacco Fund Revenue</t>
  </si>
  <si>
    <t>Executive Office - State Apportionment Revenue for Tobacco Fund received via TCR EOARC 13781.</t>
  </si>
  <si>
    <t>Medical Center (Health Care System) Revenue</t>
  </si>
  <si>
    <t>a-70</t>
  </si>
  <si>
    <t>AR02766349</t>
  </si>
  <si>
    <t>AR02766344</t>
  </si>
  <si>
    <t>AR02766345</t>
  </si>
  <si>
    <t>FMREAL0835</t>
  </si>
  <si>
    <t>0526 Payable Lease</t>
  </si>
  <si>
    <t xml:space="preserve">State of California for 2026 Mill Tax. AGARC TCR #s 7465. </t>
  </si>
  <si>
    <t xml:space="preserve">2026 Mill Tax  </t>
  </si>
  <si>
    <t xml:space="preserve">Sheriff Department - Contractual Revenue from City of La Quinta and City of Coachella. </t>
  </si>
  <si>
    <t>b-70</t>
  </si>
  <si>
    <t>AP02766879</t>
  </si>
  <si>
    <t>AP02766878</t>
  </si>
  <si>
    <t>AR02766690</t>
  </si>
  <si>
    <t>AR02766684</t>
  </si>
  <si>
    <t>INTQ326CSH</t>
  </si>
  <si>
    <t>Q3 2026 INT CASH</t>
  </si>
  <si>
    <t>FY26 Mental Health issued 25 warrants ranging from $47.61 to $406,074.12.</t>
  </si>
  <si>
    <t>FY26 Mental Health issued 79 warrants ranging from $17.05 to $248,745.</t>
  </si>
  <si>
    <t>Auditor-Controller's Office - State Board of Equalization Local Sales Tax Revenue via ACARC TCR# 42249.</t>
  </si>
  <si>
    <t>Sheriff Department Contractual Revenue from the Board of State and Community Corrections, Montecito Memorial Park &amp; Mortuary, Moreno Valley High School, Moreno Valley High School District, Norco Family Funeral Home, Pierce Brothers Crestlawn, and Weaver Mortuary.</t>
  </si>
  <si>
    <t>FY26 3rd Qtr Cash</t>
  </si>
  <si>
    <t>c-70</t>
  </si>
  <si>
    <t>AP02767337</t>
  </si>
  <si>
    <t>AR02767079</t>
  </si>
  <si>
    <t>AR02767118</t>
  </si>
  <si>
    <t>AR02767114</t>
  </si>
  <si>
    <t>AR02767120</t>
  </si>
  <si>
    <t>AR02767065</t>
  </si>
  <si>
    <t>0002765068</t>
  </si>
  <si>
    <t>0002765533</t>
  </si>
  <si>
    <t>0002766295</t>
  </si>
  <si>
    <t>Recognize Revenues for AB109 PACT July 1, 2025 - March 31st, 2026</t>
  </si>
  <si>
    <t>JE to re-allocate POINT Team expenses FY25-26</t>
  </si>
  <si>
    <t>RecogRev CCPIA Qrt 4  FY2425</t>
  </si>
  <si>
    <t>Sheriff Department issued 82 warrants ranging from $5.70 to $594,323.38.</t>
  </si>
  <si>
    <t>FY26 April 2026</t>
  </si>
  <si>
    <t>FY26 Auditor-Controller's Office State Revenue for VLF realignment. $695,651.35 for Public Health VLF and $1,044,428.85 for Social Services VLF for a total of $1,740,080.20 via ACARC TCR# 42256.</t>
  </si>
  <si>
    <t>FY26 Mental Health - State Revenue for SAMHSA SAPT FY26 Q2 Claim in the amount of $2,697,106.83 via MHARC TCR# 13325.</t>
  </si>
  <si>
    <t>751600/767181/767185</t>
  </si>
  <si>
    <t>Mental Health - State Revenue received for Medi-Cal SGF, FFP, IGT via MHARC TCR# 13314.</t>
  </si>
  <si>
    <t>732140/751401/751402/751600/767181/767185/767186/774760/775540</t>
  </si>
  <si>
    <t>Mental Health - State Revenue received for Medi-Cal SGF, FFP, IGT, Non-Perinatal and Perinatal Services in the amount of $21,003,609.34 via MHARC TCR# 13327.</t>
  </si>
  <si>
    <t>Sheriff Department - Contractual Revenue from Agua Caliente Band of Cahuilla Indians, Agua Caliente Casino, the Cities of Indian Wells and Temecula, Desert Town Hall, Temecula Valley Unified School District, and US Postal Inspection Service.</t>
  </si>
  <si>
    <t>FY26 July-March</t>
  </si>
  <si>
    <t>Probation Revenue - CCPIA 4th QTR</t>
  </si>
  <si>
    <t>d-70</t>
  </si>
  <si>
    <t>AP02767751</t>
  </si>
  <si>
    <t>AP02767750</t>
  </si>
  <si>
    <t>AR02767578</t>
  </si>
  <si>
    <t>AR02767561</t>
  </si>
  <si>
    <t>AR02767542</t>
  </si>
  <si>
    <t>0002767390</t>
  </si>
  <si>
    <t>0002767395</t>
  </si>
  <si>
    <t>0002767391</t>
  </si>
  <si>
    <t>0002767398</t>
  </si>
  <si>
    <t>PSAF - 1/2% Sales Tax Distribution Apr 2026.</t>
  </si>
  <si>
    <t>New Allocation. Realignment 1 - Transfer April 2026 Realignment Revenue for Sales Tax to Soc. Services - GF Operating Accounts.</t>
  </si>
  <si>
    <t>Realignment 2 - Transfer Apr 2026 Sales Tax, State Hospital Offset and Managed Care Offset from Mental Health sub-fund deferred revenue account to GF operating account.</t>
  </si>
  <si>
    <t>Trial Court Security for April 2026.</t>
  </si>
  <si>
    <t>FY26 Mental Health issued 44 warrants ranging from $5.95 to $735,928.07.</t>
  </si>
  <si>
    <t>FY26 Mental Health issued 53 warrants ranging from $10 to $439,843.14.</t>
  </si>
  <si>
    <t>Health Resources and Services Administration</t>
  </si>
  <si>
    <t>Mental Health - Revenue received from Health Resources and Services Administration via MHARC TCR# 13323.</t>
  </si>
  <si>
    <t>Environmental Health Revenue via EHARC TCR 33622.</t>
  </si>
  <si>
    <t>PSAF - April 2026</t>
  </si>
  <si>
    <t>Realignment 1 - April 2026</t>
  </si>
  <si>
    <t>Realignment 2 - April 2026</t>
  </si>
  <si>
    <t>April 2026</t>
  </si>
  <si>
    <t>e-70</t>
  </si>
  <si>
    <t>AP02768088</t>
  </si>
  <si>
    <t>AR02767957</t>
  </si>
  <si>
    <t>AR02767926</t>
  </si>
  <si>
    <t>0002767425</t>
  </si>
  <si>
    <t>0002765931</t>
  </si>
  <si>
    <t>FY26_Qtr. 3_Admin OVH Charges
Budget approved by Board on 6/9/25. Budget book page 191.</t>
  </si>
  <si>
    <t>FY26 Mental Health issued 107 warrants ranging from $4.79 to $324,935.39.</t>
  </si>
  <si>
    <t>751401/751402/751600/767181/767184/767185/767186</t>
  </si>
  <si>
    <t>Mental Health - State Revenue received for Medi-Cal SGF, FFP, IGT, Non-Perinatal and Perinatal Services in the amount of $18,445,575.75 via MHARC TCR# 13311.</t>
  </si>
  <si>
    <t>Sheriff Department - Contractual Revenue from the Cities of Canyon Lake, San Jacinto, and Wildomar, and San Jacinto Unified School District, Southern Coachella Valley, Lake Elsinore Storm.</t>
  </si>
  <si>
    <t>FY26 Qtr 3</t>
  </si>
  <si>
    <t>f-70</t>
  </si>
  <si>
    <t>AP02768373</t>
  </si>
  <si>
    <t>AR02768253</t>
  </si>
  <si>
    <t>0002767420</t>
  </si>
  <si>
    <t xml:space="preserve">Assessors Department issued 6 warrants.  Amounts of warrants range from $56.57 to $4,143,784.59.  $4.1mil Payment for SB2 Fee FY25-26 3rd quarter via voucher ASARC 00067641. </t>
  </si>
  <si>
    <t>FY2024 4th Quarter</t>
  </si>
  <si>
    <t>Sheriff Department - Contractual Revenue from Agua Caliente Band of Cahuilla Indians, Cities of Moreno Valley and Rancho Mirage.  $4.2mil from the City of Moreno Valley via SHARC TCR# 70716</t>
  </si>
  <si>
    <t>g-70</t>
  </si>
  <si>
    <t>AP02768718</t>
  </si>
  <si>
    <t>AP02768719</t>
  </si>
  <si>
    <t>AP02768739</t>
  </si>
  <si>
    <t>AR02768581</t>
  </si>
  <si>
    <t>FY26 Mental Health issued 63 warrants ranging from $54.55 to $333,671.52</t>
  </si>
  <si>
    <t>FY26 Mental Health issued 47 warrants ranging from $4.20 to $344,947.92</t>
  </si>
  <si>
    <t>Sheriff Department issued 158 warrants ranging from $2.88 to $947,749.60</t>
  </si>
  <si>
    <t>Sheriff Department - Contractual Revenue from City of Palm Desert and California Office of Emergency Services.  $1.8mil from the City of Palm Desert via SHARC TCR# 70726</t>
  </si>
  <si>
    <t>h-70</t>
  </si>
  <si>
    <t>AR02768882</t>
  </si>
  <si>
    <t>0002767465</t>
  </si>
  <si>
    <t>0002767479</t>
  </si>
  <si>
    <t>0002767371</t>
  </si>
  <si>
    <t>0002767367</t>
  </si>
  <si>
    <t>0002767369</t>
  </si>
  <si>
    <t>To move account#118400 to account#23420 (AB109-Q3 JE#2758554). Allocation has been received from Probation.</t>
  </si>
  <si>
    <t>GL Export 4/27/2026 Business Date</t>
  </si>
  <si>
    <t>FY26 March</t>
  </si>
  <si>
    <t>April 2026 Export</t>
  </si>
  <si>
    <t>FY26 PP09</t>
  </si>
  <si>
    <t>i-70</t>
  </si>
  <si>
    <t>0002767454</t>
  </si>
  <si>
    <t>Recognize AB109 Revenues for March FY2526</t>
  </si>
  <si>
    <t>j-70</t>
  </si>
  <si>
    <t>Recognize AB109 Revenues for March FY2526 - Reversal journal posted due to original journal posting out of balance.</t>
  </si>
  <si>
    <t>R002767454</t>
  </si>
  <si>
    <t>k-70</t>
  </si>
  <si>
    <t>AP02770281</t>
  </si>
  <si>
    <t>0002769693</t>
  </si>
  <si>
    <t>0002770020</t>
  </si>
  <si>
    <t>MHSA and Realignment 2011  funding YTD April 2026</t>
  </si>
  <si>
    <t>FY 25/26 April 2026 Final Tax Fund Transfer
Processed by Maria Moreno 951.940.6359</t>
  </si>
  <si>
    <t>Sheriff Department issued 142 warrants ranging from $10.95 to $911,982.13.</t>
  </si>
  <si>
    <t>Mental Health 2011 Realignment and MHSA</t>
  </si>
  <si>
    <t>l-70</t>
  </si>
  <si>
    <t>AP02770495</t>
  </si>
  <si>
    <t>0002770023</t>
  </si>
  <si>
    <t>0002769633</t>
  </si>
  <si>
    <t>0002769698</t>
  </si>
  <si>
    <t>0002769640</t>
  </si>
  <si>
    <t>0002769638</t>
  </si>
  <si>
    <t>0002769688</t>
  </si>
  <si>
    <t>0002770029</t>
  </si>
  <si>
    <t>0002770033</t>
  </si>
  <si>
    <t>Sheriff Department issued 135 warrants ranging from $16.86 to $656,211.36.</t>
  </si>
  <si>
    <t>755918/755920/755921/755922/755923</t>
  </si>
  <si>
    <t>m-70</t>
  </si>
  <si>
    <t>AR02770693</t>
  </si>
  <si>
    <t>AR02770696</t>
  </si>
  <si>
    <t xml:space="preserve">Emergency Management Dept. Revenue from various sources via EMARC TCR# 7823. </t>
  </si>
  <si>
    <t>208100/230100/767220/774540/774550/776455/777040/781360</t>
  </si>
  <si>
    <t>230100/779030/779040/779180/781300/781360</t>
  </si>
  <si>
    <t>Fire Department - Fire Protection Contractual Revenue from the City of Beaumont, Superior Court of California, Mercury Insurance, Loya Casualty Insurance, Law Office of Brian N, and multiple residents.</t>
  </si>
  <si>
    <t>n-70</t>
  </si>
  <si>
    <t>AP02771207</t>
  </si>
  <si>
    <t>AR02771007</t>
  </si>
  <si>
    <t>FY26 Mental Health issued 17 warrants ranging from $62.97 to $890,138.76.</t>
  </si>
  <si>
    <t>FY26 Department of Public Health State Revenue. $3,618,681 payment from the State of California Medi-Cal for the California Children's Services via HSARC TCR # 135168.</t>
  </si>
  <si>
    <t>o-70</t>
  </si>
  <si>
    <t>AP02771524</t>
  </si>
  <si>
    <t>0002770919</t>
  </si>
  <si>
    <t>0002770915</t>
  </si>
  <si>
    <t>DPSS IHSS-MOE Services Billing &amp; IHSS Voucher - Health Benefits</t>
  </si>
  <si>
    <t>FY26 Dept. of Public Social Services issued 3 warrants with amounts ranging from $592.57 to $9,312,792.33. $9.3mil payment for IHSS MOE Services Billing for May 2026 via DPARC Voucher #00217525 and $7,040,192.78 payment for May 2026 IHSS Health Benefits via DPARC Voucher# 00217546 for a total of $16,352,985.11.</t>
  </si>
  <si>
    <t>FY26 PP10</t>
  </si>
  <si>
    <t>p-70</t>
  </si>
  <si>
    <t>AP02772071</t>
  </si>
  <si>
    <t>AP02772110</t>
  </si>
  <si>
    <t>FY26 Mental Health issued 70 warrants ranging from $0.66 to $1,763,581.10. MHARC vouchers 00358213 and 00358216, in amounts $1,763,581.10 and $1,600,798.80 respectively, both issued to MFI Recovery Center.</t>
  </si>
  <si>
    <t>Sheriff Department issued 112 warrants ranging from $0.68 to $1,645,382.23. SHARC voucher 00636634 for $1,645,382.23 issued to Vincor Construction Inc.</t>
  </si>
  <si>
    <t>546380, 540060, 546060, 542060</t>
  </si>
  <si>
    <t>0002771405</t>
  </si>
  <si>
    <t>GL FY 25-26 CY SBE CS2</t>
  </si>
  <si>
    <t>FY26 State Board of Equalization Colletion 1 - CY SBE CS2</t>
  </si>
  <si>
    <t>700020/733000/770030/772830</t>
  </si>
  <si>
    <t>0002770917</t>
  </si>
  <si>
    <t>q-70</t>
  </si>
  <si>
    <t>AP02772248</t>
  </si>
  <si>
    <t>AP02772328</t>
  </si>
  <si>
    <t>AP02772327</t>
  </si>
  <si>
    <t>FY26 Department of Public Social Services issued 55 warrants ranging from $58.81 to $392,832.20.</t>
  </si>
  <si>
    <t>FY26 Mental Health issued 28 warrants ranging from $43.45 to $402,893.15</t>
  </si>
  <si>
    <t>FY26 Mental Health issued 93 warrants ranging from $54.55 to $177,947.79</t>
  </si>
  <si>
    <t>r-70</t>
  </si>
  <si>
    <t>AR02772508</t>
  </si>
  <si>
    <t>0002771310</t>
  </si>
  <si>
    <t>0002772165</t>
  </si>
  <si>
    <t>advance to revenue MAY 2026</t>
  </si>
  <si>
    <t>0002768171</t>
  </si>
  <si>
    <t>0002767860</t>
  </si>
  <si>
    <t>0002768765</t>
  </si>
  <si>
    <t>ITACCS2611</t>
  </si>
  <si>
    <t>CalSAWS - Oasis JE for 04/29/2026</t>
  </si>
  <si>
    <t>CalSAWS - Oasis JE for 04/28/2026</t>
  </si>
  <si>
    <t>CalSAWS - Oasis JE for 05/01/2026</t>
  </si>
  <si>
    <t>RCIT Enterprise Services May 2026
M.O. 3.12, 1-14-2025</t>
  </si>
  <si>
    <t>750340/761020</t>
  </si>
  <si>
    <t>FY2026 May RCIT Service</t>
  </si>
  <si>
    <t>Sheriff Department - Contractual Revenue from Agua Caliente Band of Cahuilla Indians T, Agua Caliente Casino, City of Indian Wells, City of Palm Desert, City of Rancho Mirage, Desert Champions LLC., and Palm Springs Unified School District</t>
  </si>
  <si>
    <t>s-70</t>
  </si>
  <si>
    <t>AP02773169</t>
  </si>
  <si>
    <t>0002771366</t>
  </si>
  <si>
    <t>0002771002</t>
  </si>
  <si>
    <t>0002769639</t>
  </si>
  <si>
    <t>FMCUST1004</t>
  </si>
  <si>
    <t>0002768232</t>
  </si>
  <si>
    <t>FMMAIN1239</t>
  </si>
  <si>
    <t>0002769204</t>
  </si>
  <si>
    <t>0002768205</t>
  </si>
  <si>
    <t>0002770313</t>
  </si>
  <si>
    <t>Q1 Cor &amp; Q2-26 AB109 Claim Funding</t>
  </si>
  <si>
    <t>GL FY25-26 CY SUP APR</t>
  </si>
  <si>
    <t>Sheriff's Department
Palm Desert Expansion DIF Billing
Invoice #10 BOS 3.91-6/27/23
March 2026</t>
  </si>
  <si>
    <t>CUST Services May 2026</t>
  </si>
  <si>
    <t>FY25-26 May Property Insurance</t>
  </si>
  <si>
    <t>MAINT Svcs May 2026</t>
  </si>
  <si>
    <t>FY25-26 May - Worker's Compensation Board Approved 1.14.25 - 3.10</t>
  </si>
  <si>
    <t>FY25-26 May General/Auto Liability Insurance 
 Board Approved on 1/14/25 Item 3.10-26888</t>
  </si>
  <si>
    <t>County of Riverside Hospital Project
1997A &amp; 2012A Bonds
FY 25-26 DS Billing</t>
  </si>
  <si>
    <t>FY26 Mental Health issued 36 warrants ranging from $91.96 to 361,001.89</t>
  </si>
  <si>
    <t>FY26 1st &amp; 2nd Quarters</t>
  </si>
  <si>
    <t>704000/781242/733000/733020</t>
  </si>
  <si>
    <t>FY26 Property Insurance Period 11</t>
  </si>
  <si>
    <t>FY2026 May Maintenance</t>
  </si>
  <si>
    <t>FY26 Worker's Comp Period 11</t>
  </si>
  <si>
    <t>FY26 General/Auto Liability Insurance Period 11</t>
  </si>
  <si>
    <t>FY26 CY SUP Apr</t>
  </si>
  <si>
    <t>t-70</t>
  </si>
  <si>
    <t>AP02773641</t>
  </si>
  <si>
    <t>AP02773642</t>
  </si>
  <si>
    <t>AR02773437</t>
  </si>
  <si>
    <t>0002771843</t>
  </si>
  <si>
    <t>0002771744</t>
  </si>
  <si>
    <t>0002772902</t>
  </si>
  <si>
    <t>To Transfer funds to Behaviorial Health
Opioiod Settlement: $6,189,459
ARPA Interest: $5,957,488
BOS 3.28 03/24/2026 ID# 29861
FY25/26</t>
  </si>
  <si>
    <t>FY26 3rd Qtr OOC General Fund 
Revenue Distribution</t>
  </si>
  <si>
    <t>Sheriff's Department
Palm Desert Expansion DIF Billing
Invoice #11 BOS 3.40-10/7/25
April 2026</t>
  </si>
  <si>
    <t>FLT042026</t>
  </si>
  <si>
    <t>FY26 FLEET MONTHLY BILLING PER 10 APRIL FY26</t>
  </si>
  <si>
    <t>FY26 Mental Health issued 69 warrants ranging from $16 to $1,826,550.13. MHARC  $1.8mil voucher 00358354, issued to MFI Recovery Center.</t>
  </si>
  <si>
    <t>FY26 Mental Health issued 79 warrants ranging from $11.91 to 499,908.84</t>
  </si>
  <si>
    <t>Sheriff Department - Contractual Revenue from California Office of Emergency Services, City of Eastvale, City of La Quinta, City of Norco, Corona-Norco USD, Desert Sands USD, Inland Violent Crime Suspension Task, Jurupa Community Services District, Jurupa Unified School District and St. Frances of Assissi. $1.1mil from City of La Quinta via SHARC TCR# 70869</t>
  </si>
  <si>
    <t>FY25/65 Opioid Settlement Funds</t>
  </si>
  <si>
    <t>FY26 3rd Qtr</t>
  </si>
  <si>
    <t>FY26 Fleet Services April 2026</t>
  </si>
  <si>
    <t>Anually</t>
  </si>
  <si>
    <t>FY25/26 Opioid Settlement Funds</t>
  </si>
  <si>
    <t>u-70</t>
  </si>
  <si>
    <t>AR02773941</t>
  </si>
  <si>
    <t>AR02773911</t>
  </si>
  <si>
    <t>0002773416</t>
  </si>
  <si>
    <t>0002772850</t>
  </si>
  <si>
    <t>0002772916</t>
  </si>
  <si>
    <t>0002772837</t>
  </si>
  <si>
    <t>0002772920</t>
  </si>
  <si>
    <t>0002772831</t>
  </si>
  <si>
    <t>0002773418</t>
  </si>
  <si>
    <t>732140/740080/767200/774760/775520/781480</t>
  </si>
  <si>
    <t>Advocates for Human Potential (AHP)</t>
  </si>
  <si>
    <t>Mental Health - Revenue received in the amount of $3,113,848.62 from Advocates for Human Potential (AHP) via MHARC TCR# 13342.</t>
  </si>
  <si>
    <t>112100/118301/118401/118501/118601</t>
  </si>
  <si>
    <t>Sheriff Department - Contractual Revenue from Agua Caliente Band of Cahuilla Indians, the Cities of Indian Wells, Rancho Mirage, and San Jacinto, Federal Bureau of Investigations, Marriott Desert Springs Resort, River Springs Charter Schools, San Jacinto Unified School District, San Jacinto Valley Academy, SoCal Arena Co LLC., and the State of California Dept. of Corrections.</t>
  </si>
  <si>
    <t>118300/11840/208142/230141</t>
  </si>
  <si>
    <t>v-70</t>
  </si>
  <si>
    <t>AP02775035</t>
  </si>
  <si>
    <t>AR02774794</t>
  </si>
  <si>
    <t>AR02774834</t>
  </si>
  <si>
    <t>Projected Receipts for June</t>
  </si>
  <si>
    <t>FY26 Mental Health issued 27 warrants ranging from $9.02 to $384,082.07.</t>
  </si>
  <si>
    <t>FY26 Q1</t>
  </si>
  <si>
    <t>Auditor-Controller's Office - State Board of Equalization Local Sales Tax Revenue via ACARC TCR# 42387.</t>
  </si>
  <si>
    <t>Mental Health - State Revenue received for Medi-Cal SGF, FFP, IGT via MHARC TCR# 13337.</t>
  </si>
  <si>
    <t>w-70</t>
  </si>
  <si>
    <t>AP02775477</t>
  </si>
  <si>
    <t>AR02775272</t>
  </si>
  <si>
    <t>AR02775262</t>
  </si>
  <si>
    <t>AR02775254</t>
  </si>
  <si>
    <t>0002774723</t>
  </si>
  <si>
    <t>0002772859</t>
  </si>
  <si>
    <t>GL FY25-26 CY SEC SS2</t>
  </si>
  <si>
    <t>Recognize AB109 Revenues for March FY2526 - Correction journal posted due to original journal posting out of balance - Journal #0002767454</t>
  </si>
  <si>
    <t>FY26 Mental Health issued 73 warrants ranging from $7.15 to $363,451.75.</t>
  </si>
  <si>
    <t>Executive Office - Principal TRANS Payment via EOARC TCR 13795.</t>
  </si>
  <si>
    <t>FY26 Auditor-Controller's Office State Revenue for VLF realignment. $3,551,500.48 for Public Health VLF and $1,201,227.78 for Dept. of Public Social Services VLF via ACARC TCR# 42394.</t>
  </si>
  <si>
    <t>FY26 May 2026</t>
  </si>
  <si>
    <t>Sheriff Department - Contractual Revenue from the City of Lake Elsinore and Department of Defense.</t>
  </si>
  <si>
    <t>FY25-26 CY SEC SS2</t>
  </si>
  <si>
    <t>x-70</t>
  </si>
  <si>
    <t>AP02775881</t>
  </si>
  <si>
    <t>AP02775880</t>
  </si>
  <si>
    <t>FY26 Mental Health issued 3 warrants ranging from $571,263.71 to $725,714.04.</t>
  </si>
  <si>
    <t>FY26 Mental Health issued 53 warrants ranging from $19.99 to $615,428.45</t>
  </si>
  <si>
    <t>AR02775647</t>
  </si>
  <si>
    <t>Sheriff Department Contractual reveue from City of Moreno Valley, Department of Defense and for Coroner's services.$5.1 mil receveid from City of Morenol Valley on SHARC TCR 70914. SHARC TCR #s: 70913 &amp; 70914 and ACARC 42401</t>
  </si>
  <si>
    <t>0002774536</t>
  </si>
  <si>
    <t>0002774541</t>
  </si>
  <si>
    <t>0002774537</t>
  </si>
  <si>
    <t>0002774545</t>
  </si>
  <si>
    <t>0002775582</t>
  </si>
  <si>
    <t>0002774544</t>
  </si>
  <si>
    <t>PSAF - 1/2% Sales Tax Distribution May 2026.</t>
  </si>
  <si>
    <t>New Allocation. Realignment 1 - Transfer May 2026 Realignment Revenue for Sales Tax to Soc. Services - GF Operating Accounts.</t>
  </si>
  <si>
    <t>Realignment 2 - Transfer May 2026 Sales Tax, State Hospital Offset and Managed Care Offset from Mental Health sub-fund deferred revenue account to GF operating account.</t>
  </si>
  <si>
    <t>Trial Court Security for May 2026.</t>
  </si>
  <si>
    <t>To record Clinical Services MOU for Q3 FY 2526</t>
  </si>
  <si>
    <t>Realignment 1 - Transfer May 2026 Sales Tax to GF Oper Acc Realignment Revenue for Sales Tax to Public Health General Fund Operating Account.</t>
  </si>
  <si>
    <t>PSAF - May 2026</t>
  </si>
  <si>
    <t>Realignment 1 - May 2026</t>
  </si>
  <si>
    <t>Realignment 2 - May 2026</t>
  </si>
  <si>
    <t>Medical Center (Health Care System)</t>
  </si>
  <si>
    <t>May 2026 Q3 FY25/26</t>
  </si>
  <si>
    <t>FMPBH26101</t>
  </si>
  <si>
    <t>0002775141</t>
  </si>
  <si>
    <t>0002775136</t>
  </si>
  <si>
    <t>0002774542</t>
  </si>
  <si>
    <t>0002775132</t>
  </si>
  <si>
    <t>FY25/26-Apr Proj Billings</t>
  </si>
  <si>
    <t>Realignment - Transfer May 2026 Realignment Revenue for VLF to Public Health GF Operating Accounts.</t>
  </si>
  <si>
    <t>FY2026 April Project Billings</t>
  </si>
  <si>
    <t>520820/522310/537040/537280/537320</t>
  </si>
  <si>
    <t>FY26 PP11</t>
  </si>
  <si>
    <t>510040/510200</t>
  </si>
  <si>
    <t>VLF May 2026</t>
  </si>
  <si>
    <t>530480, 530440, 530280,536100</t>
  </si>
  <si>
    <t>AP02776196</t>
  </si>
  <si>
    <t>AP02776172</t>
  </si>
  <si>
    <t>Sheriff Department issued 160 warrants ranging from $6.85 to $872,711.71</t>
  </si>
  <si>
    <t>FY26 Mental Health issued 115 warrants ranging from $20 to $286,217</t>
  </si>
  <si>
    <t>y-70</t>
  </si>
  <si>
    <t>z-70</t>
  </si>
  <si>
    <t>AR02776402</t>
  </si>
  <si>
    <t>AR02776344</t>
  </si>
  <si>
    <t>AR02776349</t>
  </si>
  <si>
    <t>0002774730</t>
  </si>
  <si>
    <t>0002774698</t>
  </si>
  <si>
    <t>Mental Health - State Revenue received for Medi-Cal SGF, FFP, IGT, Non-Perinatal and Perinatal Services in the amount of $6,844,412.91, $5,598,641.37 &amp; $1,774,452.26 via MHARC TCR# 13354.</t>
  </si>
  <si>
    <t>Dept. of Animal Services revenue from the cities of Riverside via ANARC TCR #25734.</t>
  </si>
  <si>
    <t>Sheriff Department Contractual reveue from City of Lake Elsinore, City of Palm Desert,  City of Rancho Mirage, and Martha's Village Kitchen. $1.9 mil and $1.3 mil receveid from City of Palm Desert, $1.4 mil received form City of Lake Elsinore on SHARC TCR# 70932 and 70934.</t>
  </si>
  <si>
    <t>a-71</t>
  </si>
  <si>
    <t>0002776343</t>
  </si>
  <si>
    <t>0002774535</t>
  </si>
  <si>
    <t>0002772448</t>
  </si>
  <si>
    <t>FY 25-26 RPTTF June Distribution</t>
  </si>
  <si>
    <t>Revenue Recognition for JJRBG FY2526 March 2026</t>
  </si>
  <si>
    <t>Reclass Revenue - Move 21800 &amp; 21810 to Fund 10000.</t>
  </si>
  <si>
    <t>FMREAL0838</t>
  </si>
  <si>
    <t>0626 Payable Lease</t>
  </si>
  <si>
    <t>JJRBG FY26 March</t>
  </si>
  <si>
    <t>Emergency Management Dept-Reclass Revenue</t>
  </si>
  <si>
    <t>FY2026 June Lease</t>
  </si>
  <si>
    <t>FY25-26 RPTTF Collection 2 - RPTTF June</t>
  </si>
  <si>
    <t>b-71</t>
  </si>
  <si>
    <t>AP02777231</t>
  </si>
  <si>
    <t>AP02777301</t>
  </si>
  <si>
    <t>AP02777300</t>
  </si>
  <si>
    <t>FY26 Mental Health issued 121 warrants ranging from $4.62 to $1,031,900.84. $1.03 mil payment to WHCS Inc (Temecula Valley Comprehensive treatment Center). On voucher MHARC # 00359364.</t>
  </si>
  <si>
    <t>FY 26 Mental Health issued 73 warrants from $2.25 to $215,949.23.</t>
  </si>
  <si>
    <t>0002770039</t>
  </si>
  <si>
    <t>IN2196 Crayon v618989 BH YR2</t>
  </si>
  <si>
    <t>c-71</t>
  </si>
  <si>
    <t>AR02777453</t>
  </si>
  <si>
    <t>AR02777454</t>
  </si>
  <si>
    <t>0002774533</t>
  </si>
  <si>
    <t>0002777077</t>
  </si>
  <si>
    <t>0002775134</t>
  </si>
  <si>
    <t>Recognize Revenue YTEC-YOBG for March and April 2026</t>
  </si>
  <si>
    <t>FY26 Department of Public Social Services issued 26 warrants ranging from $15.72 to $9,312,792.37. $9.3 mil payment to California Department of Social Services for IHSS MOE Services Billing for June 2026 via voucher DPARC # 00218022 and $6.9 payment to labor union - United Domestic Workers (UDW AFSCME Local 3930 Riverside County) for IHSS Health Benefit on  voucher DPARC # 00218024.</t>
  </si>
  <si>
    <t>Sheriff Department - Contractual Revenue from California Department of ABC, the Cities of La Quinta and Temecula, De Luz (Santa Rosa) C.S.D., Dept. of Consumer Affairs, Dept. of State Hospitals, DMV Investigations, Murrieta Valley Unified School District, Southern Coachella Valley, Superior Court of California, and Temecula Valley Unified School District.</t>
  </si>
  <si>
    <t>FY25 YTEC-YOBG Q3 &amp; Q4</t>
  </si>
  <si>
    <t>GF Contributions Facilities Management for National Date Festival FY25/26</t>
  </si>
  <si>
    <t>General Fund Contribution to FMARC FY 25/26 Budget</t>
  </si>
  <si>
    <t>d-71</t>
  </si>
  <si>
    <t>AP02777791</t>
  </si>
  <si>
    <t>AR02777718</t>
  </si>
  <si>
    <t>FMCUST1005</t>
  </si>
  <si>
    <t>0002776319</t>
  </si>
  <si>
    <t>CUST Services Jun 2026</t>
  </si>
  <si>
    <t>To reclass CIP pass-thru revenues distributed in the FY25-26 June RPTTF distribution</t>
  </si>
  <si>
    <t>FY26 Department of Public Social Services issued 72 warrants ranging from $32.05 to $275,737.10.</t>
  </si>
  <si>
    <t>Sheriff Department - Contractual Revenue from Alvord Unified School District, City of San Jacinto, River Springs Charter Schools, San Jacinto Unified School District, San Jacinto Valley Academy, and Vally-Wide Recreation &amp; Park District.</t>
  </si>
  <si>
    <t>FY2026 June Custodial Services</t>
  </si>
  <si>
    <t>RPTTF CIP Pass-Thru Jun 2026</t>
  </si>
  <si>
    <t>e-71</t>
  </si>
  <si>
    <t>AP02778255</t>
  </si>
  <si>
    <t>AR02778084</t>
  </si>
  <si>
    <t>0002776686</t>
  </si>
  <si>
    <t>0002777080</t>
  </si>
  <si>
    <t>0002777076</t>
  </si>
  <si>
    <t>FMMAIN1241</t>
  </si>
  <si>
    <t>0002777114</t>
  </si>
  <si>
    <t>0002775593</t>
  </si>
  <si>
    <t>0002776643</t>
  </si>
  <si>
    <t>0002775592</t>
  </si>
  <si>
    <t>0002776336</t>
  </si>
  <si>
    <t>FY26 Repayment of General Fund advance to CORAL for debt service payments</t>
  </si>
  <si>
    <t>Interest cost for FY26 for General Fund loan for POB 2020 repayment</t>
  </si>
  <si>
    <t>FY25-26 June Property Insurance
 Board Approved on 1/14/25 Item 3.10-26888</t>
  </si>
  <si>
    <t>MAINT Svcs Jun 2026</t>
  </si>
  <si>
    <t>FY25-26 June - Worker's Compensation
 Board Approved 1.14.25 - 3.10</t>
  </si>
  <si>
    <t>FY25-26 June General/Auto Liability
 Board Approved on 1/14/25 Item 3.10-26888</t>
  </si>
  <si>
    <t>CalSAWS- Oasis JE for 06/01/2026</t>
  </si>
  <si>
    <t>CalSAWS- Oasis JE for 05/27/2026</t>
  </si>
  <si>
    <t>CalSAWS- Oasis JE for 05/28/2026</t>
  </si>
  <si>
    <t>FY 26 Mental Health issued 28 warrants from $28.25 to $890,020.</t>
  </si>
  <si>
    <t>FY26 Department of Public Health - State Revenue via HSARC # 135193.</t>
  </si>
  <si>
    <t>General Fund Repayment from CORAL</t>
  </si>
  <si>
    <t>Interest for POB 2020</t>
  </si>
  <si>
    <t>FY26 Property Insurance Period 12</t>
  </si>
  <si>
    <t>FY2026 June Maintenance</t>
  </si>
  <si>
    <t>FY26 Worker's Comp Period 12</t>
  </si>
  <si>
    <t>FY26 General/Auto Liability Insurance Period 12</t>
  </si>
  <si>
    <t>6/8/2026, 6/8/2026</t>
  </si>
  <si>
    <t>0002777076, 0002775593</t>
  </si>
  <si>
    <t>f-71</t>
  </si>
  <si>
    <t>AP02778733</t>
  </si>
  <si>
    <t>AR02778527</t>
  </si>
  <si>
    <t>0002778037</t>
  </si>
  <si>
    <t>0002778010</t>
  </si>
  <si>
    <t>0002778004</t>
  </si>
  <si>
    <t>0002778383</t>
  </si>
  <si>
    <t>0002778060</t>
  </si>
  <si>
    <t>GF Contributions
Office of Economic Development
3rd &amp; 4th Quarter
FY 25/26</t>
  </si>
  <si>
    <t>FY 26 Mental Health issued 108 warrants from $11.50 to $427,805.73.</t>
  </si>
  <si>
    <t>Sheriff Department - Contractual Revenue from Agua Caliente Casino, the Cities of Rancho Mirage and Temecula, Hamilton School, Murrieta Valley Unified School District, Ritz-Carlton, Soboba Band of Luiseno Indians, and Temecula Vally Unified School District.</t>
  </si>
  <si>
    <t>g-71</t>
  </si>
  <si>
    <t>AP02779171</t>
  </si>
  <si>
    <t>AP02779271</t>
  </si>
  <si>
    <t>AR02779014</t>
  </si>
  <si>
    <t>FY2026 3rd  Quarter</t>
  </si>
  <si>
    <t>Sheriff Department issued 171 warrants ranging from $6.94 to $964,769.94 and include 2 credits totaling $58.68.</t>
  </si>
  <si>
    <t>Sheriff Department Contractual revenue from City of Rancho Mirage and Alvord Unified School District  $1.06mil received from City of Rancho Mirage on SHARC TCR# 71020.</t>
  </si>
  <si>
    <t xml:space="preserve">Fire Department issued 42 warrants. Amounts of warrants range from $40.24 to $71,186,580.97 and include 2 credits totaling $231.95.  $71.1mil payment to State of California Department of Forestry for FY26 3rd Quarter Estimate via FPARC Voucher# 00439517. </t>
  </si>
  <si>
    <t>h-71</t>
  </si>
  <si>
    <t>AR02779442</t>
  </si>
  <si>
    <t>AR02779468</t>
  </si>
  <si>
    <t>FY 26 Department of Public Health - State Revenue via HSARC # 135198.</t>
  </si>
  <si>
    <t>732140/767200/775550/775560/781080</t>
  </si>
  <si>
    <t>0002778934</t>
  </si>
  <si>
    <t>advance to revenue JUNE 2026</t>
  </si>
  <si>
    <t>0002778321</t>
  </si>
  <si>
    <t>0002778326</t>
  </si>
  <si>
    <t>0002778322</t>
  </si>
  <si>
    <t>Medicare</t>
  </si>
  <si>
    <t>FY26P12</t>
  </si>
  <si>
    <t>FY26 Mental Health Revenue- State Revenue for SAMHSA FY2526 Q3 on MHARC # TCR 13361 totaling $1,533,053 and cash receipts totaling $12,921 on MHARC TCR # 13360.</t>
  </si>
  <si>
    <t>i-76</t>
  </si>
  <si>
    <t>AP02779913</t>
  </si>
  <si>
    <t>AP02779992</t>
  </si>
  <si>
    <t>FY26 Department of Public Social Services issued 75 warrants ranging from $85.76 to $406,469.97</t>
  </si>
  <si>
    <t>FY 26 Mental Health issued 100 warrants from $.19 to $349,644.08</t>
  </si>
  <si>
    <t>j-76</t>
  </si>
  <si>
    <t>AP02780327</t>
  </si>
  <si>
    <t>AP02780453</t>
  </si>
  <si>
    <t>AR02780197</t>
  </si>
  <si>
    <t>AR02780170</t>
  </si>
  <si>
    <t>0002776648</t>
  </si>
  <si>
    <t>FMPBH26111</t>
  </si>
  <si>
    <t>0002778324</t>
  </si>
  <si>
    <t>FY25/26 ERAF VLF 2nd Payment in May 2026 GASB84</t>
  </si>
  <si>
    <t>FY25/26-May Proj Billings</t>
  </si>
  <si>
    <t>June 2nd Election</t>
  </si>
  <si>
    <t>Fire Department - Fire Protection Contractual Revenue from the Cities of Banning, Norco, Morongo Band, State of California, Chrysler Jeep, Big Express Inc, Exel Inc DHL Supply, AllState, Superior Court of California, Crocket Law Group, USAA, Ca Fire Mechanics, and multiple residents.</t>
  </si>
  <si>
    <t>230100/528140/741040/771300/779040/779210/779270/781360</t>
  </si>
  <si>
    <t>FY26 Registrar of Voters issued payment to ProVote Solutions via RVARC V# 00058455.</t>
  </si>
  <si>
    <t>The Exceutive Office issued 4 warrants ranging from $606.96 to $6,241,447. $6.2 million paid to the State Treasuer's Office for the quarterly Maintenence of Effort (MOE) payment, via voucher  EOARC 00055498.</t>
  </si>
  <si>
    <t xml:space="preserve">FY26 2nd Pymt </t>
  </si>
  <si>
    <t>520820/522310/525440/536860/537040/537280/537320</t>
  </si>
  <si>
    <t>6/5/2026, 6/8/2026, 6/15/2026</t>
  </si>
  <si>
    <t>FMCUST1005, FMMAIN1241, FMPBH26111</t>
  </si>
  <si>
    <t>6/10/2026, 6/15/2026</t>
  </si>
  <si>
    <t>AP02779171, FMPBH26111</t>
  </si>
  <si>
    <t>FY26 PP12</t>
  </si>
  <si>
    <t>0002778321, 0002778326, 0002778322, 0002778324</t>
  </si>
  <si>
    <t>Sheriff Department Contractual revenue from City of La Quinta, Coachella Valley Cemetery District, Desert Sands USD, Pickering Events, Preston and Simons Mortuary and The Madison Club.  $1.06mil received from City of La Quinta on SHARC TCR# 71044.</t>
  </si>
  <si>
    <t>FY26 4th Quarter</t>
  </si>
  <si>
    <t>FY2026 May Project Billings</t>
  </si>
  <si>
    <t>5/28/2026, 6/3/2026, 6/8/2026, 6/8/2026, 6/8/2026, 6/15/2026</t>
  </si>
  <si>
    <t>AP02775881,AP02777231, 0002776643, 0002775592, 0002776336, FMPBH26111</t>
  </si>
  <si>
    <t>k-76</t>
  </si>
  <si>
    <t>AP02780956</t>
  </si>
  <si>
    <t>AR02780730</t>
  </si>
  <si>
    <t>0002780537</t>
  </si>
  <si>
    <t>0002780594</t>
  </si>
  <si>
    <t>FY 25/26 June 2026 Final Tax Fund Transfer
Processed by Maria Moreno 951.940.6359</t>
  </si>
  <si>
    <t>Contribution to General Fund
from Solar Program Fund
FY 25/26</t>
  </si>
  <si>
    <t>Sheriff Department Contractual revenue from City of Lake Elsinore, California Office of Emergency services, FBI Safe Street Task Force, and Department of Defense.  $1.3mil from City of Lake Elsinore on SHARC TCR# 71067.</t>
  </si>
  <si>
    <t>l-76</t>
  </si>
  <si>
    <t>AP02782099</t>
  </si>
  <si>
    <t>AR02781882</t>
  </si>
  <si>
    <t>AR02781884</t>
  </si>
  <si>
    <t>AR02781848</t>
  </si>
  <si>
    <t>AR02781851</t>
  </si>
  <si>
    <t>AR02781854</t>
  </si>
  <si>
    <t>AR02781855</t>
  </si>
  <si>
    <t>FLT052026</t>
  </si>
  <si>
    <t>FY26 FLEET MONTHLY BILLING PER 11 MAY FY26</t>
  </si>
  <si>
    <t>FY 26 Mental Health issued 159 warrants range from $1,120.76 to $412,662.73.</t>
  </si>
  <si>
    <t>FY 26 Mental Health issued 200 warrants range from $.62 to $383,765.00.</t>
  </si>
  <si>
    <t>Executive Office - State Apportionment Revenue for AB199 Criminal Fees Backfill received via TCR EOARC 13806.</t>
  </si>
  <si>
    <t xml:space="preserve">Fire Department- Fire Protection Revenue from the City of Coachella via TCR FPARC 16011. </t>
  </si>
  <si>
    <t>FY 2026 Fire Contractual Revenue</t>
  </si>
  <si>
    <t>District Attorney - Revenue from City of Indio for Coachella Music Festival Reimbursement.  TCR DAARC 8217</t>
  </si>
  <si>
    <t>Department of Public Health - State Health Grants &amp; program revenue via TCR HSARC 135203.</t>
  </si>
  <si>
    <t>Sheriff Department Contractual revenue from City of Calimesa,Indian Wells, Perris, San Jacinto,Morongo Band of Mission Indians, San Jacinto Unified School District, and Val Verde Unified School District via SHARC TCR# 71068.</t>
  </si>
  <si>
    <t>Sheriff Department Contractual revenue from City of Wildomar, City of Canyon Lake, and Moreno Valley Unified School District via SHARC TCR# 71082,71083,71086,71087,71093,71094 .</t>
  </si>
  <si>
    <t>m-76</t>
  </si>
  <si>
    <t>AP02782658</t>
  </si>
  <si>
    <t>AP02782543</t>
  </si>
  <si>
    <t>AR02782398</t>
  </si>
  <si>
    <t>FY26 Mental Health issued 17 warrants range from $35.75 to $768,078.65.</t>
  </si>
  <si>
    <t>FY26 Department of Public Social Services issued 44 warrants ranging from $47.05 to $345,242.44.</t>
  </si>
  <si>
    <t>n-76</t>
  </si>
  <si>
    <t>AR02782900</t>
  </si>
  <si>
    <t>0002781834</t>
  </si>
  <si>
    <t>GF Contributions to RUHS
for Medical Center
FY 25/26</t>
  </si>
  <si>
    <t>Fire Department - Fire Protection Contractual Revenue from the City of Moreno Valley.</t>
  </si>
  <si>
    <t>779030/779170</t>
  </si>
  <si>
    <t>General Fund Contribution to RUHS Medical Center</t>
  </si>
  <si>
    <t>o-76</t>
  </si>
  <si>
    <t>AP02783472</t>
  </si>
  <si>
    <t>AP02783471</t>
  </si>
  <si>
    <t>AR02783284</t>
  </si>
  <si>
    <t>AR02783279</t>
  </si>
  <si>
    <t>AR02783278</t>
  </si>
  <si>
    <t>0002780644</t>
  </si>
  <si>
    <t>0002779757</t>
  </si>
  <si>
    <t>Recognize AB109 Revenues for Apr FY2526</t>
  </si>
  <si>
    <t>FY26 Mental Health issued 91 warrants range from $4.48 to $419,192.59.</t>
  </si>
  <si>
    <t>FY26 Mental Health issued 61 warrants range from $8 to $181,432.65.</t>
  </si>
  <si>
    <t>Sheriff Department - Contractual Revenue from the Cities of Coachella and Indian Wells, and Draper Mortuary, FBI, Green Acres Memorial Park &amp; Mortuary, Palm Springs Unified School District, Pierce Brothers Crestlawn, Reverentia Populi Inc., Soboba Band of Luiseno Indians and Weaver Mortuary.</t>
  </si>
  <si>
    <t>Sheriff Department - Contractual Revenue from the Cities of Eastvale, Jurupa Valley, and Norco, and Jurupa Community Services District and Jurupa Unified School District.</t>
  </si>
  <si>
    <t>FY26 April</t>
  </si>
  <si>
    <t>p-76</t>
  </si>
  <si>
    <t>AP02783837</t>
  </si>
  <si>
    <t>FY26 Mental Health issued 82 warrants range from $101.51 to $1,351,623.58. $1.35 mil payment to MFI Revicery Center on voucher MHARC # 00361094</t>
  </si>
  <si>
    <t>6/3/2026, 06/25/2026</t>
  </si>
  <si>
    <t>AP02777301, AP02783837</t>
  </si>
  <si>
    <t>AR02783703</t>
  </si>
  <si>
    <t>AR02783671</t>
  </si>
  <si>
    <t>AR02783701</t>
  </si>
  <si>
    <t xml:space="preserve">Fire Department- Fire Protection Revenue from the City of Menifee via TCR FPARC 16036. </t>
  </si>
  <si>
    <t xml:space="preserve">Fire Department- Fire Protection Revenue from the City of Rancho Mirage, City of Perris, City of Eastvale, City of Wildomar, State of California, Richard Saenz, Global Metal Recycle, AFICS, Interinsurance, John T. Willis, Allstate, via TCR FPARC 16027. </t>
  </si>
  <si>
    <t>Sheriff Department contractual revenue from City of Moreno Valley, City of Wildomar, De Luz (Santa Rosa) C.S.D., Department of State Hospitals, La Quinta High School, Lake Elsinore School District, Lake Elsinore Unified School District, State of California- Office of Traffic via SHARC TCR# 711134, 71137, 71138, 71139, 71142, 71143.</t>
  </si>
  <si>
    <t>118301/118401/118501/118601</t>
  </si>
  <si>
    <t>6/11/2026, 6/11/2026, 6/11/2026, 6/15/2026</t>
  </si>
  <si>
    <t>INTQ326ACR</t>
  </si>
  <si>
    <t>Q3 2026 INT ACRL</t>
  </si>
  <si>
    <t>0002782753</t>
  </si>
  <si>
    <t>FY26P13</t>
  </si>
  <si>
    <t>q-76</t>
  </si>
  <si>
    <t>AP02784119</t>
  </si>
  <si>
    <t>Sheriff Department issued 129 warrants ranging from $13.59 to $598,869.28</t>
  </si>
  <si>
    <t>r-76</t>
  </si>
  <si>
    <t>AR02784249</t>
  </si>
  <si>
    <t>AR02784279</t>
  </si>
  <si>
    <t>0002783612</t>
  </si>
  <si>
    <t>ITACCS2612</t>
  </si>
  <si>
    <t>GF Contributions
RCIT - RivCoOne Slalom Phase II Project
BOS 3.53 06/23/26 #30762
FY 25/26</t>
  </si>
  <si>
    <t>RCIT Enterprise Services June 2026
M.O. 3.12, 1-14-2025</t>
  </si>
  <si>
    <t>Realignment 1 - June 2026</t>
  </si>
  <si>
    <t>Revenue Received for the Franklin Project FY2324, FY2425 &amp; FY2526.  Project COMPLETED</t>
  </si>
  <si>
    <t>FY2324, 2425 &amp; 2526</t>
  </si>
  <si>
    <t>General Fund Contribution to other Funds. RivCoONE Connect and Enterprise Data  Phase Two</t>
  </si>
  <si>
    <t>FY2026 June RCIT Service</t>
  </si>
  <si>
    <t>Projected Receipts for July</t>
  </si>
  <si>
    <t>s-76</t>
  </si>
  <si>
    <t>AR02784531</t>
  </si>
  <si>
    <t>AR02784533</t>
  </si>
  <si>
    <t>0002783656</t>
  </si>
  <si>
    <t>0002783911</t>
  </si>
  <si>
    <t>0002783618</t>
  </si>
  <si>
    <t>0002783264</t>
  </si>
  <si>
    <t>0002783637</t>
  </si>
  <si>
    <t>0002783916</t>
  </si>
  <si>
    <t>0002783268</t>
  </si>
  <si>
    <t>0002784178</t>
  </si>
  <si>
    <t>0002783912</t>
  </si>
  <si>
    <t>0002780052</t>
  </si>
  <si>
    <t>0002783918</t>
  </si>
  <si>
    <t>0002782749</t>
  </si>
  <si>
    <t>PSAF - 1/2% Sales Tax Distribution June 2026.</t>
  </si>
  <si>
    <t>New Allocation. Realignment 1 - Transfer June 2026 Realignment Revenue for Sales Tax to Soc. Services - GF Operating Accounts.</t>
  </si>
  <si>
    <t>Realignment 2 - Transfer June 2026 Sales Tax, State Hospital Offset and Managed Care Offset from Mental Health sub-fund deferred revenue account to GF operating account.</t>
  </si>
  <si>
    <t>FY 25/26 Admin Fee Charge for 4th Quarter 4/1/2026-6/30/2026</t>
  </si>
  <si>
    <t>Trial Court Security for June 2026.</t>
  </si>
  <si>
    <t xml:space="preserve">Fire Department- Fire Protection Revenue from City of Palm Desert, via TCR FPARC 16023. </t>
  </si>
  <si>
    <t xml:space="preserve">Fire Department- Fire Protection Revenue from the City of Beaumont, Rubidoux Community, J.J Kane Auctioneers, Riverside Comm College, State of Ca, and Superior Court of Ca.  $1.5mil from City of Beaumont via TCR FPARC 16043. </t>
  </si>
  <si>
    <t>6/15/2026, 6/18/2026, 6/23/2026, 06/25/2026, 06/25/2026, 6/30/2026, 6/30/2026</t>
  </si>
  <si>
    <t>AR02780197, AR02781884, AR02783703, AR02783701, AR02784531, AR02784533</t>
  </si>
  <si>
    <t>Realignment 2 - June 2026</t>
  </si>
  <si>
    <t>6/11/2026, 6/30/2026</t>
  </si>
  <si>
    <t>0002778934, 0002783912</t>
  </si>
  <si>
    <t>FY26 4th Qtr.</t>
  </si>
  <si>
    <t>Capital Const-Land &amp; Bldg Acq</t>
  </si>
  <si>
    <t>Office On Aging</t>
  </si>
  <si>
    <t>PSAF - June 2026</t>
  </si>
  <si>
    <t>FY27P13</t>
  </si>
  <si>
    <t>t-76</t>
  </si>
  <si>
    <t>AR02784868</t>
  </si>
  <si>
    <t>AR02784854</t>
  </si>
  <si>
    <t>AR02784873</t>
  </si>
  <si>
    <t>AR02784866</t>
  </si>
  <si>
    <t>AR02784871</t>
  </si>
  <si>
    <t>AR02784869</t>
  </si>
  <si>
    <t>Mental Health - State Revenue and Fees TCR# 13371</t>
  </si>
  <si>
    <t>Mental Health - State Revenue and Fees TCR# 13385</t>
  </si>
  <si>
    <t>FY27 PP14</t>
  </si>
  <si>
    <t>FY27 PP15</t>
  </si>
  <si>
    <t>FY26 PP13</t>
  </si>
  <si>
    <t>FY26 Mental health state revenue - Short Doyle/Medi- CAL, MCHIP, MCHIP IGT. $8mil and $1 mil via MHARC TCR 13362</t>
  </si>
  <si>
    <t>Emergency Management Dept. State Revenue. EMARC TCR# 7859</t>
  </si>
  <si>
    <t>6/11/2026, 7/01/2026</t>
  </si>
  <si>
    <t>AR02779468, AR02784871</t>
  </si>
  <si>
    <t>751401/767185/775520</t>
  </si>
  <si>
    <t>732140/740080/751401/751402/751600/767181/767185/767185/774760/775520/7755/40</t>
  </si>
  <si>
    <t>Mental Health - State Revenue received for Medi-Cal SGF, FFP, IGT, Non-Perinatal and Perinatal Services. $8mil and $1 mil via MHARC TCR 13362</t>
  </si>
  <si>
    <t>Mental Health - State Revenue - Short Doyle/Medi-CAL, Non-Perinatal and Perinatal Services via TCR# 13378</t>
  </si>
  <si>
    <t>u-76</t>
  </si>
  <si>
    <t>AR02785215</t>
  </si>
  <si>
    <t>AR02785172</t>
  </si>
  <si>
    <t>0002783991</t>
  </si>
  <si>
    <t>0002783975</t>
  </si>
  <si>
    <t>0002782804</t>
  </si>
  <si>
    <t>0002784993</t>
  </si>
  <si>
    <t>0002785029</t>
  </si>
  <si>
    <t>0002782751</t>
  </si>
  <si>
    <t>Recognize JJCPA Revenues for Apr and May FY25/26</t>
  </si>
  <si>
    <t>CalSAWS - Oasis JE for 07/01/2026</t>
  </si>
  <si>
    <t>FY27 General Fund advance to POB 2020 Series for debt service payments due in July</t>
  </si>
  <si>
    <t>FY26 Mental Health State revenue for Medi-cal programs, MCHIP, MCHIP IGT. $16.7mil and $1.3 mil via MHARC TCR 13368</t>
  </si>
  <si>
    <t>6/11/2026, 6/24/2026, 7/01/2026, 7/01/2026, 7/01/2026, 7/01/2026, 7/01/2026, 7/02/2026</t>
  </si>
  <si>
    <t>AR02779468, AR02783284, AR02784854, AR02784871, AR02784866, AR02784854, AR02784869,AR02785215</t>
  </si>
  <si>
    <t>Sheriff Department - Contractual Revenue from 46th District Agricultural Assoc., Chaparral Highschool, City of La Quinta, City of Perris, Inland Violent Crime Suppression, Nuview Union SD, Perris Union HSD, Ritchie Bros. Auctions, Southern Coachella Valley, and Val Verde Union HSD.  $1.8mil from City of Perris, and $1.3mil from City of La Quinta via SHARC TCR# 71176 and 71175 respectively.</t>
  </si>
  <si>
    <t>v-76</t>
  </si>
  <si>
    <t>0002784152</t>
  </si>
  <si>
    <t>0002784154</t>
  </si>
  <si>
    <t>CalSAWS - Oasis JE for 06/26/2026</t>
  </si>
  <si>
    <t>CalSAWS - Oasis JE for 06/27/2026</t>
  </si>
  <si>
    <t>w-76</t>
  </si>
  <si>
    <t>AR02786143</t>
  </si>
  <si>
    <t xml:space="preserve">FY2027 Tax Anticipation Note </t>
  </si>
  <si>
    <t>FY27 TRANS Revenue via EOARC TCR 13814</t>
  </si>
  <si>
    <t>x-76</t>
  </si>
  <si>
    <t>AR02786666</t>
  </si>
  <si>
    <t>0002786003</t>
  </si>
  <si>
    <t>0002785810</t>
  </si>
  <si>
    <t>FY26 4th Qtr OOC General Fund
Revenue Distribution Estimate</t>
  </si>
  <si>
    <t>Sheriff Department - Contractual Revenue from the City of Coachella, DCESP Cannabis Eradication, and Soboba Band of Luiseño Indians</t>
  </si>
  <si>
    <t>FY26 4th Qtr</t>
  </si>
  <si>
    <t>FY27PP14</t>
  </si>
  <si>
    <t>AR02787277</t>
  </si>
  <si>
    <t>0002785541</t>
  </si>
  <si>
    <t>0002785050</t>
  </si>
  <si>
    <t>0002785126</t>
  </si>
  <si>
    <t>0002785814</t>
  </si>
  <si>
    <t>0002785812</t>
  </si>
  <si>
    <t>Reclass PATH CITED to Correct Account and Fund for FY2526</t>
  </si>
  <si>
    <t>Reclass CO132026_0002782751_PR Interface_17001x</t>
  </si>
  <si>
    <t>Reclass PATH CITED R1 FY2425 Q4</t>
  </si>
  <si>
    <t>Reclass PATH CITED Round 1</t>
  </si>
  <si>
    <t>Reclass PP13</t>
  </si>
  <si>
    <t>6/25/2026, 6/30/2026, 7/02/2026,07/09/2026</t>
  </si>
  <si>
    <t>0002782753, 0002782749, 0002782751, 0002785126</t>
  </si>
  <si>
    <t>FY26 PP14</t>
  </si>
  <si>
    <t xml:space="preserve">Reclass Interface </t>
  </si>
  <si>
    <t>112200/202100/515040</t>
  </si>
  <si>
    <t>7/8/2026, 7/9/2026, 7/9/2026</t>
  </si>
  <si>
    <t>0002785810, 0002785814, 0002785812</t>
  </si>
  <si>
    <t>FY26 Human Resources Revenue</t>
  </si>
  <si>
    <t>Sheriff Department- Contractual revenue from Agua Caliente Casino, City of Eastvale, City of Jurupa Valley, City of Murrieta, City of Norco, City of Palm Desert, City of Rancho Mirage, Jurupa Area Recreation &amp; Park District, Jurupa Community Services District, Jurupa Community Services District, Jurupa Unified School District, Miller Jones Mortuary, Rubidoux Community Services District, SoCal Arena Co LLC dba Acrisure Arena, and  Superior Court of California. SHARC TCR#s 71209-71212</t>
  </si>
  <si>
    <t>AP02787916</t>
  </si>
  <si>
    <t>AP02787951</t>
  </si>
  <si>
    <t>AR02787752</t>
  </si>
  <si>
    <t>Sheriff Department issued 203 warrants ranging from $1.36 to $951,800.14</t>
  </si>
  <si>
    <t>Dept. of Animal Services revenue from the cities of Jurupa Valley and Riverside via ANARC TCR #25866.</t>
  </si>
  <si>
    <t>FY26 Executive Office Expense</t>
  </si>
  <si>
    <t>y-76</t>
  </si>
  <si>
    <t>AP02788295</t>
  </si>
  <si>
    <t>AR02788111</t>
  </si>
  <si>
    <t>AR02788112</t>
  </si>
  <si>
    <t>0002784646</t>
  </si>
  <si>
    <t>0002787079</t>
  </si>
  <si>
    <t>0002787052</t>
  </si>
  <si>
    <t>0002784416</t>
  </si>
  <si>
    <t>0002784805</t>
  </si>
  <si>
    <t>0002784799</t>
  </si>
  <si>
    <t>0002787205</t>
  </si>
  <si>
    <t>Transfer of Opioid Settlement Funds to Behavioral Health
BOS 3.6 ID#28471 dated July 29, 2025</t>
  </si>
  <si>
    <t>Sheriff Department - Contractual Revenue from City of Lake Elsinore, City of Palm Desert, Federal Bureau of Investigations, Inland Regional Child Exploitation, and Inland Violent Crime Suppression Task.  $2.1mil from City of Palm Desert, and $1.4mil from City of Lake Elsinore via SHARC TCR# 71243 and 71244 respectively.</t>
  </si>
  <si>
    <t>6/30/2026, 7/13/2026, 7/13/2026</t>
  </si>
  <si>
    <t>0002783916, 0002787052, 0002784416</t>
  </si>
  <si>
    <t>FY26/27 Opioid Settlement Funds</t>
  </si>
  <si>
    <t>6/16/2026, 7/13/2026</t>
  </si>
  <si>
    <t>0002780594, 0002787205</t>
  </si>
  <si>
    <t>Sheriff Department - Contractual Revenue from City of La Quinta, Desert Sands Unified SD, and New Journey Cremation .  $1.3mil from City of La Quinta via SHARC TCR# 71227.</t>
  </si>
  <si>
    <t>AP02788696</t>
  </si>
  <si>
    <t>AR02788510</t>
  </si>
  <si>
    <t>0002787576</t>
  </si>
  <si>
    <t>General Fund Contributions to
Cabazon Community Revitalization, 
Wine Country, &amp; Mead Valley 
Infrastructure Funds
FY 25/26</t>
  </si>
  <si>
    <t>Sheriff Department issued 202 warrants ranging from $6.88 to $353,200.57</t>
  </si>
  <si>
    <t>6/4/2026, 6/9/2026, 6/23/2026, 6/29/2026, 7/14/2026</t>
  </si>
  <si>
    <t>0002777077, 0002778383, 0002781834, 0002783612, 0002787576</t>
  </si>
  <si>
    <t>z-76</t>
  </si>
  <si>
    <t>a-77</t>
  </si>
  <si>
    <t>b-77</t>
  </si>
  <si>
    <t>FY 27 Department of Public Health - State Revenue. $3.06mil from CA Dept of Health Svcs via HSARC # 135217</t>
  </si>
  <si>
    <t>General Fund Contribution to Cabazon, Wine Country and Mead Valley Comm Revital</t>
  </si>
  <si>
    <t>c-77</t>
  </si>
  <si>
    <t>AP02789043</t>
  </si>
  <si>
    <t>AP02789042</t>
  </si>
  <si>
    <t>AP02789083</t>
  </si>
  <si>
    <t>AR02788895</t>
  </si>
  <si>
    <t>AR02788896</t>
  </si>
  <si>
    <t>00R2788742</t>
  </si>
  <si>
    <t>0002788742</t>
  </si>
  <si>
    <t>Reversal to JE#0002788742</t>
  </si>
  <si>
    <t>To move funds from TCR EOARC-13814-AR02786143 to fund 65950 per Investment Agreement</t>
  </si>
  <si>
    <t>Sheriff Department issued 164 warrants ranging from $1.21 to $358,128.24</t>
  </si>
  <si>
    <t xml:space="preserve">Fire Department- Fire Protection Revenue from City of Temecula, via TCR FPARC 16059. </t>
  </si>
  <si>
    <t xml:space="preserve">Fire Department- Fire Protection Revenue from the Cities of Jurupa Valley, Indio, Canyon Lake, and Calimesa, State of California, NBIS Construction, Superior Court of California, and State Farm.  $3.6mil and $1.1mil from City of Indio via TCR FPARC 16073. </t>
  </si>
  <si>
    <t>7/15/2026, 7/15/2026</t>
  </si>
  <si>
    <t>AR02788895, AR02788896</t>
  </si>
  <si>
    <t>Note: The $179M Tax Revenue Anticipation Note proceeds are held with Fiscal Agent</t>
  </si>
  <si>
    <t>d-77</t>
  </si>
  <si>
    <t>AP02789471</t>
  </si>
  <si>
    <t>AP02789524</t>
  </si>
  <si>
    <t>AR02789302</t>
  </si>
  <si>
    <t>0002785853</t>
  </si>
  <si>
    <t>0002785919</t>
  </si>
  <si>
    <t>0002786556</t>
  </si>
  <si>
    <t>0002787597</t>
  </si>
  <si>
    <t>0002788851</t>
  </si>
  <si>
    <t>0002788808</t>
  </si>
  <si>
    <t>FY26_Qtr. 4_Admin OVH Charges 
 Board Approved on 6/9/25 as part of the FY25/26 Budget</t>
  </si>
  <si>
    <t>Flex Excess Refund FY2526 PP19,20,21,23,24</t>
  </si>
  <si>
    <t>Recognize JJCPA Revenues for FY2526 June</t>
  </si>
  <si>
    <t>To correct Clinical Services MOU payment correction for Q1-Q3 FY2526</t>
  </si>
  <si>
    <t>FY27 Mental Health issued 53 warrants range from $41.84 to $679,210.68</t>
  </si>
  <si>
    <t>FY27 Mental Health issued 55 warrants range from $197.14 to $262,962.59</t>
  </si>
  <si>
    <t>FY27 Mental Health issued 40 warrants range from $28.65 to $424,780.32</t>
  </si>
  <si>
    <t>FY27 Mental Health issued 12 warrants range from $29.23 to $924,760</t>
  </si>
  <si>
    <t>FY27 Mental Health issued 55 warrants range from $84.30 to $1,741,19208. $1.7 mil payment to MFI Recovery Center on voucher MHARC # 00361370.</t>
  </si>
  <si>
    <t>Sheriff Department issued 150 warrants ranging from $6.98 to $368,664.68.</t>
  </si>
  <si>
    <t>Sheriff Department - Contractual Revenue from Cities of Moreno Valley and San Jacinto, and Norco Family Funeral Home, River Springs Charter Schools, and San Jacinto Unified School District.</t>
  </si>
  <si>
    <t>6/1/2026, 6/4/2026, 6/4/2026, 6/5/2026, 6/9/2026, 6/11/2026, 6/15/2026, 6/16/2026, 6/22/2026, 6/24/2026, 6/24/2026, 6/25/2026, 7/16/2026</t>
  </si>
  <si>
    <t>AR02776349, AR02777453, AR02777454, AR02777718, AR02778527, AR02779014, AR02780170, AR02780730,AR02781854,AR02781855, AR02782398, AR02783279, AR02783278, AR02783671, AR02789302</t>
  </si>
  <si>
    <t>FY26 Qtr 4</t>
  </si>
  <si>
    <t>6/11/2026, 6/30/2026, 7/01/2026, 7/01/2026, 7/01/2026, 7/16/2026</t>
  </si>
  <si>
    <t>AR02779468, 0002780052, AR02784871, AR02784854, AR02784869, 0002785853</t>
  </si>
  <si>
    <t>HR Excess Flex Benefit Refund</t>
  </si>
  <si>
    <t>FY26 Excess Flex Benefit Refund</t>
  </si>
  <si>
    <t>Health Care System Revenue</t>
  </si>
  <si>
    <t>FY26 Q1-Q3 Correction</t>
  </si>
  <si>
    <t>6/2/2026, 6/5/2026, 6/11/2026, 6/18/2026, 7/01/2026, 7/08/2026, 7/16/2026</t>
  </si>
  <si>
    <t>0002776343, 0002776319,AR02779468,AR02781882, AR02784854, 0002786003, 0002787597</t>
  </si>
  <si>
    <t>6/16/2026, 7/16/2026, 7/16/2026</t>
  </si>
  <si>
    <t>0002780537, 0002785853, 0002788851</t>
  </si>
  <si>
    <t>GF Contributions to UCI Districts FY 26/27</t>
  </si>
  <si>
    <t>General Fund Contribution to UCI Districts</t>
  </si>
  <si>
    <t>FM-Real Estate</t>
  </si>
  <si>
    <t>FY26 Mental Health Revenue</t>
  </si>
  <si>
    <t>Payroll PP15</t>
  </si>
  <si>
    <t>e-77</t>
  </si>
  <si>
    <t>AP02789678</t>
  </si>
  <si>
    <t>0002776707</t>
  </si>
  <si>
    <t>0002785917</t>
  </si>
  <si>
    <t>0002785410</t>
  </si>
  <si>
    <t>0002786601</t>
  </si>
  <si>
    <t>FLT062026</t>
  </si>
  <si>
    <t>Recognize Revenue YTEC-YOBG  and YOBG-Aftercare for May and June 2026</t>
  </si>
  <si>
    <t>Recognize AB109 Revenues for June FY2526</t>
  </si>
  <si>
    <t>Recognize Revenue for JJRBG -April and May 2026</t>
  </si>
  <si>
    <t>Reclass Gen. Fund Expenses to AB109 Fund 11167 FY25/26 April=June 2026</t>
  </si>
  <si>
    <t>FY26 FLEET MONTHLY BILLING PER 12 JUNE FY26</t>
  </si>
  <si>
    <t>Assessors Department issued 8 warrants.  Amounts of warrants range from $320 to $1,125,000.  $1.1mil Payment to C3.ai for residential property appraisal via voucher ASARC 00068374</t>
  </si>
  <si>
    <t>JJRBG FY26 April &amp;  May</t>
  </si>
  <si>
    <t>6/9/2026, 6/24/2026, 6/30/2026, 7/2/2026, 7/13/2026, 7/13/2026, 7/13/2026, 7/13/2026, 7/16/2026, 7/17/2026, 7/17/2026</t>
  </si>
  <si>
    <t>0002778060, 0002779757, 0002783918, 0002782804, 0002784646, 0002787079, 0002784805, 0002784799, 0002786556, 0002785917, 0002786601</t>
  </si>
  <si>
    <t>FY26 Fleet Services June 2026</t>
  </si>
  <si>
    <t>6/18/2026, 7/17/2026</t>
  </si>
  <si>
    <t>FLT052026, FLT062026</t>
  </si>
  <si>
    <t>Assessor Payment</t>
  </si>
  <si>
    <t>7/1/2026, 7/01/2026, 7/01/2026, 7/01/2026/7/02/2026, 7/17/2026</t>
  </si>
  <si>
    <t>AR02784871, AR02784866, AR02784854, AR02784869, AR02785215, 0002785410</t>
  </si>
  <si>
    <t>FY26 June</t>
  </si>
  <si>
    <t>FY26 Detention Health Services Expense</t>
  </si>
  <si>
    <t>FY26 YTEC-YOBG Q4</t>
  </si>
  <si>
    <t>RSA Flexible Spending Account</t>
  </si>
  <si>
    <t>C3.ai Residential Property Appraisal Software</t>
  </si>
  <si>
    <t>f-77</t>
  </si>
  <si>
    <t>AP02790532</t>
  </si>
  <si>
    <t>00R2789170</t>
  </si>
  <si>
    <t>0002789881</t>
  </si>
  <si>
    <t>REVERSAL - Schedule A YE FY25-26 
Transfer of Opioid Settlement Funds to Behavioral Health, Public
Health and Emergency Management
BOS 3.6 ID#28471 dated July 29, 2025</t>
  </si>
  <si>
    <t>advance to revenue JULY 2026</t>
  </si>
  <si>
    <t>Year End Journal Entries</t>
  </si>
  <si>
    <t>FY26 Department of Public Social Services issued 3 warrants ranging from $640.53 to $8,036,777.47. $8.03mil payment to UDW AFSCME for contract benefits via voucher DPARC #00218732</t>
  </si>
  <si>
    <t>7/2/2026, 7/6/2026, 7/6/2026, 7/21/2026</t>
  </si>
  <si>
    <t>0002784993, 0002784152, 0002784154, AP02790532</t>
  </si>
  <si>
    <t>Reversal Journal entry</t>
  </si>
  <si>
    <t>FY26 Reversal Journal Entry</t>
  </si>
  <si>
    <t>g-77</t>
  </si>
  <si>
    <t>INTQ426CSH</t>
  </si>
  <si>
    <t>0002790279</t>
  </si>
  <si>
    <t>FMPBH2631R</t>
  </si>
  <si>
    <t>0002790275</t>
  </si>
  <si>
    <t>Q4 2026 INT CASH</t>
  </si>
  <si>
    <t>FY26-Schedule A Proj Billings</t>
  </si>
  <si>
    <t>FY26 4th Qtr Cash</t>
  </si>
  <si>
    <t>0002777080, INTQ326ACR, INTQ426CSH</t>
  </si>
  <si>
    <t>FY2026 Schedule A Project Billings</t>
  </si>
  <si>
    <t>IHSS Public Authority</t>
  </si>
  <si>
    <t>FY27 Human Resources Expense</t>
  </si>
  <si>
    <t>FY27 Facilities Management  Expense</t>
  </si>
  <si>
    <t>6/8/2026, 06/25/2026, 7/22/2026</t>
  </si>
  <si>
    <t>Year-End Sch A</t>
  </si>
  <si>
    <t>FY26 &amp; FY27 PP15</t>
  </si>
  <si>
    <t>h-77</t>
  </si>
  <si>
    <t>AR02791263</t>
  </si>
  <si>
    <t>0002787208</t>
  </si>
  <si>
    <t>FREAL26YER</t>
  </si>
  <si>
    <t>0002790277</t>
  </si>
  <si>
    <t>Drawdown on Abatement Fund June 2026</t>
  </si>
  <si>
    <t>FY26 Schedule A</t>
  </si>
  <si>
    <t>Sheriff Department - Contractual Revenue from City of Temecula, and U.S. Postal Inspection Service,  $3.1mil, and $2.9mil from City of Temecula via SHARC TCR# 71314.</t>
  </si>
  <si>
    <t>7/2/2026, 7/8/2026,7/9/2026, 7/10/2026, 7/13/2026, 7/13/2026, 7/23/2026</t>
  </si>
  <si>
    <t>AR02785172, AR02786666, AR02787277, AP02787951, AR02788111, AR02788112, AR02791263</t>
  </si>
  <si>
    <t>FY26 TLMA - Code Enforcement</t>
  </si>
  <si>
    <t xml:space="preserve">FY2026 Schedule A </t>
  </si>
  <si>
    <t>526700/529540/522310</t>
  </si>
  <si>
    <t>7/22/2026, 7/22/2026, 7/23/2026</t>
  </si>
  <si>
    <t>0002790279, 0002790275, 0002790277</t>
  </si>
  <si>
    <t>Deferred Comp Co-Nationwide</t>
  </si>
  <si>
    <t>FY27 Dept of Public Social Services Revenue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</si>
</sst>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5" formatCode="&quot;$&quot;#,##0_);\(&quot;$&quot;#,##0\)"/>
    <numFmt numFmtId="6" formatCode="&quot;$&quot;#,##0_);[Red]\(&quot;$&quot;#,##0\)"/>
    <numFmt numFmtId="44" formatCode="_(&quot;$&quot;* #,##0.00_);_(&quot;$&quot;* \(#,##0.00\);_(&quot;$&quot;* &quot;-&quot;??_);_(@_)"/>
    <numFmt numFmtId="43" formatCode="_(* #,##0.00_);_(* \(#,##0.00\);_(* &quot;-&quot;??_);_(@_)"/>
    <numFmt numFmtId="164" formatCode="[$-409]mmmm\-yy;@"/>
    <numFmt numFmtId="165" formatCode="_(* #,##0_);_(* \(#,##0\);_(* &quot;-&quot;??_);_(@_)"/>
    <numFmt numFmtId="166" formatCode="m/d/yy;@"/>
    <numFmt numFmtId="167" formatCode="_(&quot;$&quot;* #,##0_);_(&quot;$&quot;* \(#,##0\);_(&quot;$&quot;* &quot;-&quot;??_);_(@_)"/>
    <numFmt numFmtId="168" formatCode="&quot;$&quot;#,##0"/>
    <numFmt numFmtId="169" formatCode="[$-F800]dddd\,\ mmmm\ dd\,\ yyyy"/>
    <numFmt numFmtId="170" formatCode="[$$-409]#,##0_);\([$$-409]#,##0\)"/>
    <numFmt numFmtId="171" formatCode="[$$-409]#,##0_);[Red]\([$$-409]#,##0\)"/>
    <numFmt numFmtId="172" formatCode="_([$$-409]* #,##0_);_([$$-409]* \(#,##0\);_([$$-409]* &quot;-&quot;??_);_(@_)"/>
    <numFmt numFmtId="173" formatCode="&quot;$&quot;#,##0.00"/>
    <numFmt numFmtId="174" formatCode="[$-409]mmm\-yy;@"/>
  </numFmts>
  <fonts count="152">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Unicode MS"/>
      <family val="2"/>
    </font>
    <font>
      <b/>
      <sz val="12"/>
      <name val="Arial"/>
      <family val="2"/>
    </font>
    <font>
      <sz val="10"/>
      <name val="Arial Unicode MS"/>
      <family val="2"/>
    </font>
    <font>
      <b/>
      <sz val="10"/>
      <name val="Arial Unicode MS"/>
      <family val="2"/>
    </font>
    <font>
      <sz val="10"/>
      <name val="Arial Unicode MS"/>
      <family val="2"/>
    </font>
    <font>
      <sz val="10"/>
      <name val="Arial Unicode MS"/>
      <family val="2"/>
    </font>
    <font>
      <b/>
      <sz val="10"/>
      <name val="Arial Unicode MS"/>
      <family val="2"/>
    </font>
    <font>
      <sz val="10"/>
      <name val="Arial Unicode MS"/>
      <family val="2"/>
    </font>
    <font>
      <b/>
      <sz val="10"/>
      <name val="Arial Unicode MS"/>
      <family val="2"/>
    </font>
    <font>
      <sz val="10"/>
      <name val="Arial Unicode MS"/>
      <family val="2"/>
    </font>
    <font>
      <b/>
      <sz val="10"/>
      <name val="Arial Unicode MS"/>
      <family val="2"/>
    </font>
    <font>
      <sz val="10"/>
      <name val="Arial Unicode MS"/>
      <family val="2"/>
    </font>
    <font>
      <b/>
      <sz val="10"/>
      <name val="Arial Unicode MS"/>
      <family val="2"/>
    </font>
    <font>
      <sz val="10"/>
      <color theme="1"/>
      <name val="Arial"/>
      <family val="2"/>
    </font>
    <font>
      <sz val="11"/>
      <color theme="1"/>
      <name val="Calibri"/>
      <family val="2"/>
      <scheme val="minor"/>
    </font>
    <font>
      <b/>
      <sz val="10"/>
      <color theme="1"/>
      <name val="Arial"/>
      <family val="2"/>
    </font>
    <font>
      <sz val="10"/>
      <name val="Arial Unicode MS"/>
      <family val="2"/>
    </font>
    <font>
      <b/>
      <sz val="10"/>
      <name val="Arial Unicode MS"/>
      <family val="2"/>
    </font>
    <font>
      <sz val="10"/>
      <name val="Arial Unicode MS"/>
      <family val="2"/>
    </font>
    <font>
      <b/>
      <sz val="10"/>
      <name val="Arial Unicode MS"/>
      <family val="2"/>
    </font>
    <font>
      <sz val="10"/>
      <name val="Arial Unicode MS"/>
      <family val="2"/>
    </font>
    <font>
      <b/>
      <sz val="11"/>
      <name val="Bookman Old Style"/>
      <family val="1"/>
    </font>
    <font>
      <sz val="11"/>
      <color theme="1"/>
      <name val="Bookman Old Style"/>
      <family val="1"/>
    </font>
    <font>
      <sz val="11"/>
      <name val="Bookman Old Style"/>
      <family val="1"/>
    </font>
    <font>
      <b/>
      <sz val="11"/>
      <color theme="1"/>
      <name val="Bookman Old Style"/>
      <family val="1"/>
    </font>
    <font>
      <i/>
      <sz val="11"/>
      <color theme="1"/>
      <name val="Bookman Old Style"/>
      <family val="1"/>
    </font>
    <font>
      <i/>
      <sz val="11"/>
      <name val="Bookman Old Style"/>
      <family val="1"/>
    </font>
    <font>
      <sz val="10"/>
      <color theme="1"/>
      <name val="Bookman Old Style"/>
      <family val="1"/>
    </font>
    <font>
      <u/>
      <sz val="11"/>
      <color theme="1"/>
      <name val="Bookman Old Style"/>
      <family val="1"/>
    </font>
    <font>
      <sz val="10"/>
      <name val="Arial Unicode MS"/>
      <family val="2"/>
    </font>
    <font>
      <u/>
      <sz val="10"/>
      <color theme="10"/>
      <name val="Arial"/>
      <family val="2"/>
    </font>
    <font>
      <sz val="10"/>
      <name val="Arial Unicode MS"/>
      <family val="2"/>
    </font>
    <font>
      <sz val="9"/>
      <color indexed="81"/>
      <name val="Tahoma"/>
      <family val="2"/>
    </font>
    <font>
      <b/>
      <sz val="9"/>
      <color indexed="81"/>
      <name val="Tahoma"/>
      <family val="2"/>
    </font>
    <font>
      <sz val="10"/>
      <name val="Arial Unicode MS"/>
      <family val="2"/>
    </font>
    <font>
      <sz val="10"/>
      <name val="Arial Unicode MS"/>
      <family val="2"/>
    </font>
    <font>
      <sz val="10"/>
      <name val="Arial Unicode MS"/>
      <family val="2"/>
    </font>
    <font>
      <b/>
      <sz val="10"/>
      <name val="Arial Unicode MS"/>
      <family val="2"/>
    </font>
    <font>
      <sz val="10"/>
      <name val="Arial Unicode MS"/>
      <family val="2"/>
    </font>
    <font>
      <b/>
      <sz val="10"/>
      <name val="Arial Unicode MS"/>
      <family val="2"/>
    </font>
    <font>
      <sz val="10"/>
      <name val="Arial Unicode MS"/>
      <family val="2"/>
    </font>
    <font>
      <b/>
      <sz val="10"/>
      <name val="Arial Unicode MS"/>
      <family val="2"/>
    </font>
    <font>
      <sz val="10"/>
      <name val="Arial Unicode MS"/>
      <family val="2"/>
    </font>
    <font>
      <b/>
      <sz val="10"/>
      <name val="Arial Unicode MS"/>
      <family val="2"/>
    </font>
    <font>
      <sz val="10"/>
      <name val="Arial Unicode MS"/>
      <family val="2"/>
    </font>
    <font>
      <b/>
      <sz val="10"/>
      <name val="Arial Unicode MS"/>
      <family val="2"/>
    </font>
    <font>
      <sz val="10"/>
      <name val="Arial Unicode MS"/>
      <family val="2"/>
    </font>
    <font>
      <b/>
      <sz val="10"/>
      <name val="Arial Unicode MS"/>
      <family val="2"/>
    </font>
    <font>
      <sz val="10"/>
      <name val="Arial Unicode MS"/>
      <family val="2"/>
    </font>
    <font>
      <b/>
      <sz val="10"/>
      <name val="Arial Unicode MS"/>
      <family val="2"/>
    </font>
    <font>
      <sz val="10"/>
      <name val="Arial Unicode MS"/>
      <family val="2"/>
    </font>
    <font>
      <b/>
      <sz val="10"/>
      <name val="Arial Unicode MS"/>
      <family val="2"/>
    </font>
    <font>
      <sz val="10"/>
      <name val="Arial Unicode MS"/>
      <family val="2"/>
    </font>
    <font>
      <b/>
      <sz val="10"/>
      <name val="Arial Unicode MS"/>
      <family val="2"/>
    </font>
    <font>
      <sz val="10"/>
      <name val="Arial Unicode MS"/>
      <family val="2"/>
    </font>
    <font>
      <b/>
      <sz val="10"/>
      <name val="Arial Unicode MS"/>
      <family val="2"/>
    </font>
    <font>
      <sz val="10"/>
      <name val="Arial Unicode MS"/>
      <family val="2"/>
    </font>
    <font>
      <b/>
      <sz val="10"/>
      <name val="Arial Unicode MS"/>
      <family val="2"/>
    </font>
    <font>
      <sz val="10"/>
      <name val="Arial Unicode MS"/>
      <family val="2"/>
    </font>
    <font>
      <b/>
      <sz val="10"/>
      <name val="Arial Unicode MS"/>
      <family val="2"/>
    </font>
    <font>
      <sz val="10"/>
      <name val="Arial Unicode MS"/>
      <family val="2"/>
    </font>
    <font>
      <b/>
      <sz val="10"/>
      <name val="Arial Unicode MS"/>
      <family val="2"/>
    </font>
    <font>
      <sz val="10"/>
      <name val="Arial Unicode MS"/>
      <family val="2"/>
    </font>
    <font>
      <b/>
      <sz val="10"/>
      <name val="Arial Unicode MS"/>
      <family val="2"/>
    </font>
    <font>
      <sz val="10"/>
      <name val="Arial Unicode MS"/>
      <family val="2"/>
    </font>
    <font>
      <b/>
      <sz val="10"/>
      <name val="Arial Unicode MS"/>
      <family val="2"/>
    </font>
    <font>
      <sz val="10"/>
      <name val="Arial Unicode MS"/>
      <family val="2"/>
    </font>
    <font>
      <b/>
      <sz val="10"/>
      <name val="Arial Unicode MS"/>
      <family val="2"/>
    </font>
    <font>
      <sz val="10"/>
      <name val="Arial Unicode MS"/>
      <family val="2"/>
    </font>
    <font>
      <b/>
      <sz val="10"/>
      <name val="Arial Unicode MS"/>
      <family val="2"/>
    </font>
    <font>
      <sz val="10"/>
      <name val="Arial Unicode MS"/>
      <family val="2"/>
    </font>
    <font>
      <b/>
      <sz val="10"/>
      <name val="Arial Unicode MS"/>
      <family val="2"/>
    </font>
    <font>
      <sz val="10"/>
      <name val="Arial Unicode MS"/>
      <family val="2"/>
    </font>
    <font>
      <b/>
      <sz val="10"/>
      <name val="Arial Unicode MS"/>
      <family val="2"/>
    </font>
    <font>
      <sz val="10"/>
      <name val="Arial Unicode MS"/>
      <family val="2"/>
    </font>
    <font>
      <b/>
      <sz val="10"/>
      <name val="Arial Unicode MS"/>
      <family val="2"/>
    </font>
    <font>
      <sz val="10"/>
      <name val="Arial Unicode MS"/>
      <family val="2"/>
    </font>
    <font>
      <b/>
      <sz val="10"/>
      <name val="Arial Unicode MS"/>
      <family val="2"/>
    </font>
    <font>
      <sz val="11"/>
      <color indexed="8"/>
      <name val="Calibri"/>
      <family val="2"/>
      <scheme val="minor"/>
    </font>
    <font>
      <sz val="8"/>
      <color theme="1"/>
      <name val="Arial"/>
      <family val="2"/>
    </font>
    <font>
      <i/>
      <sz val="8"/>
      <color theme="1"/>
      <name val="Arial"/>
      <family val="2"/>
    </font>
    <font>
      <sz val="8"/>
      <name val="Arial"/>
      <family val="2"/>
    </font>
    <font>
      <sz val="10"/>
      <color rgb="FF000000"/>
      <name val="Arial"/>
      <family val="2"/>
    </font>
    <font>
      <b/>
      <sz val="11"/>
      <color theme="1"/>
      <name val="Calibri"/>
      <family val="2"/>
      <scheme val="minor"/>
    </font>
    <font>
      <b/>
      <sz val="12"/>
      <color indexed="8"/>
      <name val="Calibri"/>
      <family val="2"/>
    </font>
    <font>
      <sz val="12"/>
      <color rgb="FF000000"/>
      <name val="Courier New"/>
      <family val="2"/>
    </font>
    <font>
      <sz val="12"/>
      <name val="Courier New"/>
      <family val="3"/>
    </font>
    <font>
      <b/>
      <sz val="12"/>
      <name val="Courier New"/>
      <family val="3"/>
    </font>
    <font>
      <b/>
      <sz val="9"/>
      <color theme="1"/>
      <name val="Arial"/>
      <family val="2"/>
    </font>
    <font>
      <sz val="9"/>
      <color theme="1"/>
      <name val="Arial"/>
      <family val="2"/>
    </font>
    <font>
      <b/>
      <sz val="9"/>
      <name val="Arial"/>
      <family val="2"/>
    </font>
    <font>
      <b/>
      <sz val="12"/>
      <color rgb="FF000000"/>
      <name val="Bookman Old Style"/>
      <family val="1"/>
    </font>
    <font>
      <sz val="20"/>
      <color theme="1"/>
      <name val="Arial"/>
      <family val="2"/>
    </font>
    <font>
      <b/>
      <sz val="12"/>
      <color theme="1"/>
      <name val="Calibri"/>
      <family val="2"/>
      <scheme val="minor"/>
    </font>
    <font>
      <sz val="12"/>
      <name val="Calibri"/>
      <family val="2"/>
    </font>
    <font>
      <b/>
      <sz val="26"/>
      <color theme="1"/>
      <name val="Arial"/>
      <family val="2"/>
    </font>
    <font>
      <b/>
      <sz val="26"/>
      <color theme="1"/>
      <name val="Calibri"/>
      <family val="2"/>
    </font>
    <font>
      <sz val="26"/>
      <color theme="1"/>
      <name val="Arial"/>
      <family val="2"/>
    </font>
    <font>
      <sz val="20"/>
      <color theme="1"/>
      <name val="Amasis MT Pro Light"/>
      <family val="1"/>
    </font>
    <font>
      <sz val="20"/>
      <color theme="1"/>
      <name val="Arial Rounded MT Bold"/>
      <family val="2"/>
    </font>
    <font>
      <sz val="26"/>
      <color theme="1"/>
      <name val="Amasis MT Pro Light"/>
      <family val="1"/>
    </font>
    <font>
      <sz val="26"/>
      <color theme="1"/>
      <name val="Arial Rounded MT Bold"/>
      <family val="2"/>
    </font>
    <font>
      <b/>
      <sz val="28"/>
      <color theme="1"/>
      <name val="Calibri"/>
      <family val="2"/>
    </font>
    <font>
      <sz val="28"/>
      <color theme="1"/>
      <name val="Calibri"/>
      <family val="2"/>
    </font>
    <font>
      <sz val="28"/>
      <color theme="1"/>
      <name val="Arial"/>
      <family val="2"/>
    </font>
    <font>
      <b/>
      <sz val="28"/>
      <color theme="1"/>
      <name val="Arial"/>
      <family val="2"/>
    </font>
    <font>
      <sz val="30"/>
      <color theme="1"/>
      <name val="Calibri"/>
      <family val="2"/>
    </font>
    <font>
      <b/>
      <sz val="30"/>
      <color theme="1"/>
      <name val="Arial"/>
      <family val="2"/>
    </font>
    <font>
      <b/>
      <sz val="32"/>
      <color theme="1"/>
      <name val="Calibri"/>
      <family val="2"/>
    </font>
    <font>
      <sz val="31"/>
      <color theme="1"/>
      <name val="Arial"/>
      <family val="2"/>
    </font>
    <font>
      <b/>
      <sz val="31"/>
      <color theme="1"/>
      <name val="Calibri"/>
      <family val="2"/>
    </font>
    <font>
      <b/>
      <sz val="31"/>
      <color theme="1"/>
      <name val="Arial"/>
      <family val="2"/>
    </font>
    <font>
      <b/>
      <sz val="48"/>
      <color theme="1"/>
      <name val="Amasis MT Pro Light"/>
      <family val="1"/>
    </font>
    <font>
      <b/>
      <sz val="76"/>
      <color theme="1"/>
      <name val="Arial"/>
      <family val="2"/>
    </font>
    <font>
      <b/>
      <sz val="50"/>
      <color theme="1"/>
      <name val="Amasis MT Pro Light"/>
      <family val="1"/>
    </font>
    <font>
      <sz val="40"/>
      <color theme="1"/>
      <name val="Arial"/>
      <family val="2"/>
    </font>
    <font>
      <b/>
      <sz val="32"/>
      <color theme="1"/>
      <name val="Arial"/>
      <family val="2"/>
    </font>
    <font>
      <sz val="32"/>
      <color theme="1"/>
      <name val="Arial"/>
      <family val="2"/>
    </font>
    <font>
      <sz val="32"/>
      <color rgb="FFFF0000"/>
      <name val="Arial"/>
      <family val="2"/>
    </font>
    <font>
      <b/>
      <sz val="72"/>
      <color theme="1"/>
      <name val="Arial"/>
      <family val="2"/>
    </font>
    <font>
      <b/>
      <sz val="36"/>
      <color rgb="FFCC9900"/>
      <name val="Calibri"/>
      <family val="2"/>
    </font>
    <font>
      <b/>
      <sz val="38"/>
      <color rgb="FFCC9900"/>
      <name val="Arial"/>
      <family val="2"/>
    </font>
    <font>
      <sz val="11"/>
      <color rgb="FFFF0000"/>
      <name val="Calibri"/>
      <family val="2"/>
      <scheme val="minor"/>
    </font>
    <font>
      <b/>
      <sz val="11"/>
      <color indexed="8"/>
      <name val="Calibri"/>
      <family val="2"/>
      <scheme val="minor"/>
    </font>
    <font>
      <b/>
      <sz val="10"/>
      <color rgb="FFFF0000"/>
      <name val="Arial"/>
      <family val="2"/>
    </font>
    <font>
      <sz val="11"/>
      <color indexed="8"/>
      <name val="Bookman Old Style"/>
      <family val="1"/>
    </font>
    <font>
      <sz val="11"/>
      <color theme="1"/>
      <name val="Calibri"/>
      <family val="2"/>
    </font>
    <font>
      <sz val="11"/>
      <name val="Calibri"/>
      <family val="2"/>
    </font>
    <font>
      <b/>
      <i/>
      <sz val="11"/>
      <name val="Calibri"/>
      <family val="2"/>
    </font>
    <font>
      <b/>
      <sz val="11"/>
      <name val="Calibri"/>
      <family val="2"/>
    </font>
    <font>
      <b/>
      <i/>
      <sz val="11"/>
      <color theme="1"/>
      <name val="Calibri"/>
      <family val="2"/>
    </font>
    <font>
      <i/>
      <sz val="11"/>
      <color theme="1"/>
      <name val="Calibri"/>
      <family val="2"/>
    </font>
    <font>
      <b/>
      <sz val="11"/>
      <color theme="1"/>
      <name val="Calibri"/>
      <family val="2"/>
    </font>
    <font>
      <b/>
      <sz val="11"/>
      <color rgb="FFFF0000"/>
      <name val="Calibri"/>
      <family val="2"/>
    </font>
    <font>
      <sz val="11"/>
      <color rgb="FFFF0000"/>
      <name val="Calibri"/>
      <family val="2"/>
    </font>
    <font>
      <sz val="9"/>
      <name val="Arial"/>
      <family val="2"/>
    </font>
    <font>
      <b/>
      <sz val="8"/>
      <name val="Arial"/>
      <family val="2"/>
    </font>
  </fonts>
  <fills count="16">
    <fill>
      <patternFill patternType="none"/>
    </fill>
    <fill>
      <patternFill patternType="gray125"/>
    </fill>
    <fill>
      <patternFill patternType="solid">
        <fgColor indexed="22"/>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4" tint="0.79998168889431442"/>
        <bgColor theme="4" tint="0.79998168889431442"/>
      </patternFill>
    </fill>
    <fill>
      <patternFill patternType="solid">
        <fgColor theme="3" tint="-0.249977111117893"/>
        <bgColor indexed="64"/>
      </patternFill>
    </fill>
  </fills>
  <borders count="40">
    <border>
      <left/>
      <right/>
      <top/>
      <bottom/>
      <diagonal/>
    </border>
    <border>
      <left/>
      <right/>
      <top/>
      <bottom style="thin">
        <color indexed="64"/>
      </bottom>
      <diagonal/>
    </border>
    <border>
      <left style="double">
        <color indexed="64"/>
      </left>
      <right style="double">
        <color indexed="64"/>
      </right>
      <top style="double">
        <color indexed="64"/>
      </top>
      <bottom style="double">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ck">
        <color indexed="8"/>
      </right>
      <top/>
      <bottom/>
      <diagonal/>
    </border>
    <border>
      <left style="medium">
        <color indexed="64"/>
      </left>
      <right style="thick">
        <color indexed="8"/>
      </right>
      <top style="medium">
        <color indexed="64"/>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thin">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ck">
        <color indexed="64"/>
      </top>
      <bottom/>
      <diagonal/>
    </border>
    <border>
      <left/>
      <right/>
      <top/>
      <bottom style="thick">
        <color indexed="64"/>
      </bottom>
      <diagonal/>
    </border>
    <border>
      <left style="medium">
        <color indexed="64"/>
      </left>
      <right/>
      <top style="thick">
        <color indexed="64"/>
      </top>
      <bottom/>
      <diagonal/>
    </border>
    <border>
      <left/>
      <right style="medium">
        <color indexed="64"/>
      </right>
      <top style="thick">
        <color indexed="64"/>
      </top>
      <bottom/>
      <diagonal/>
    </border>
    <border>
      <left style="thick">
        <color indexed="8"/>
      </left>
      <right style="thick">
        <color indexed="64"/>
      </right>
      <top/>
      <bottom/>
      <diagonal/>
    </border>
    <border>
      <left/>
      <right style="medium">
        <color indexed="64"/>
      </right>
      <top/>
      <bottom style="thick">
        <color indexed="64"/>
      </bottom>
      <diagonal/>
    </border>
    <border>
      <left style="medium">
        <color indexed="64"/>
      </left>
      <right style="thick">
        <color indexed="64"/>
      </right>
      <top style="medium">
        <color indexed="64"/>
      </top>
      <bottom style="medium">
        <color indexed="64"/>
      </bottom>
      <diagonal/>
    </border>
    <border>
      <left style="thick">
        <color indexed="8"/>
      </left>
      <right style="thick">
        <color indexed="64"/>
      </right>
      <top style="medium">
        <color indexed="64"/>
      </top>
      <bottom style="medium">
        <color indexed="64"/>
      </bottom>
      <diagonal/>
    </border>
    <border>
      <left style="thick">
        <color indexed="8"/>
      </left>
      <right/>
      <top/>
      <bottom/>
      <diagonal/>
    </border>
    <border>
      <left/>
      <right/>
      <top style="thin">
        <color theme="4" tint="0.79998168889431442"/>
      </top>
      <bottom style="thin">
        <color theme="4" tint="0.79998168889431442"/>
      </bottom>
      <diagonal/>
    </border>
  </borders>
  <cellStyleXfs count="211">
    <xf numFmtId="0" fontId="0" fillId="0" borderId="0"/>
    <xf numFmtId="43" fontId="28" fillId="0" borderId="0" applyFont="0" applyFill="0" applyBorder="0" applyAlignment="0" applyProtection="0"/>
    <xf numFmtId="43" fontId="18" fillId="0" borderId="0" applyFont="0" applyFill="0" applyBorder="0" applyAlignment="0" applyProtection="0"/>
    <xf numFmtId="43" fontId="15" fillId="0" borderId="0" applyFont="0" applyFill="0" applyBorder="0" applyAlignment="0" applyProtection="0"/>
    <xf numFmtId="43" fontId="21" fillId="0" borderId="0" applyFont="0" applyFill="0" applyBorder="0" applyAlignment="0" applyProtection="0"/>
    <xf numFmtId="43" fontId="29" fillId="0" borderId="0" applyFont="0" applyFill="0" applyBorder="0" applyAlignment="0" applyProtection="0"/>
    <xf numFmtId="43" fontId="23" fillId="0" borderId="0" applyFont="0" applyFill="0" applyBorder="0" applyAlignment="0" applyProtection="0"/>
    <xf numFmtId="43" fontId="25" fillId="0" borderId="0" applyFont="0" applyFill="0" applyBorder="0" applyAlignment="0" applyProtection="0"/>
    <xf numFmtId="43" fontId="27" fillId="0" borderId="0" applyFont="0" applyFill="0" applyBorder="0" applyAlignment="0" applyProtection="0"/>
    <xf numFmtId="0" fontId="17" fillId="0" borderId="0"/>
    <xf numFmtId="0" fontId="22" fillId="0" borderId="0"/>
    <xf numFmtId="0" fontId="19" fillId="0" borderId="0"/>
    <xf numFmtId="0" fontId="20" fillId="0" borderId="0"/>
    <xf numFmtId="0" fontId="29" fillId="0" borderId="0"/>
    <xf numFmtId="0" fontId="24" fillId="0" borderId="0"/>
    <xf numFmtId="0" fontId="26" fillId="0" borderId="0"/>
    <xf numFmtId="0" fontId="31" fillId="0" borderId="0"/>
    <xf numFmtId="43" fontId="32" fillId="0" borderId="0" applyFont="0" applyFill="0" applyBorder="0" applyAlignment="0" applyProtection="0"/>
    <xf numFmtId="0" fontId="33" fillId="0" borderId="0"/>
    <xf numFmtId="43" fontId="34" fillId="0" borderId="0" applyFont="0" applyFill="0" applyBorder="0" applyAlignment="0" applyProtection="0"/>
    <xf numFmtId="0" fontId="13" fillId="0" borderId="0"/>
    <xf numFmtId="43" fontId="13" fillId="0" borderId="0" applyFont="0" applyFill="0" applyBorder="0" applyAlignment="0" applyProtection="0"/>
    <xf numFmtId="0" fontId="35" fillId="0" borderId="0"/>
    <xf numFmtId="0" fontId="12" fillId="0" borderId="0"/>
    <xf numFmtId="43" fontId="12" fillId="0" borderId="0" applyFont="0" applyFill="0" applyBorder="0" applyAlignment="0" applyProtection="0"/>
    <xf numFmtId="0" fontId="11" fillId="0" borderId="0"/>
    <xf numFmtId="43" fontId="11" fillId="0" borderId="0" applyFont="0" applyFill="0" applyBorder="0" applyAlignment="0" applyProtection="0"/>
    <xf numFmtId="0" fontId="44" fillId="0" borderId="0"/>
    <xf numFmtId="0" fontId="10" fillId="0" borderId="0"/>
    <xf numFmtId="43" fontId="10" fillId="0" borderId="0" applyFont="0" applyFill="0" applyBorder="0" applyAlignment="0" applyProtection="0"/>
    <xf numFmtId="43" fontId="15" fillId="0" borderId="0" applyFont="0" applyFill="0" applyBorder="0" applyAlignment="0" applyProtection="0"/>
    <xf numFmtId="0" fontId="9" fillId="0" borderId="0"/>
    <xf numFmtId="43" fontId="9" fillId="0" borderId="0" applyFont="0" applyFill="0" applyBorder="0" applyAlignment="0" applyProtection="0"/>
    <xf numFmtId="0" fontId="46" fillId="0" borderId="0"/>
    <xf numFmtId="0" fontId="8" fillId="0" borderId="0"/>
    <xf numFmtId="43" fontId="8" fillId="0" borderId="0" applyFont="0" applyFill="0" applyBorder="0" applyAlignment="0" applyProtection="0"/>
    <xf numFmtId="0" fontId="49" fillId="0" borderId="0"/>
    <xf numFmtId="0" fontId="7" fillId="0" borderId="0"/>
    <xf numFmtId="43" fontId="7" fillId="0" borderId="0" applyFont="0" applyFill="0" applyBorder="0" applyAlignment="0" applyProtection="0"/>
    <xf numFmtId="0" fontId="50" fillId="0" borderId="0"/>
    <xf numFmtId="0" fontId="51" fillId="0" borderId="0"/>
    <xf numFmtId="43" fontId="52" fillId="0" borderId="0" applyFont="0" applyFill="0" applyBorder="0" applyAlignment="0" applyProtection="0"/>
    <xf numFmtId="0" fontId="6" fillId="0" borderId="0"/>
    <xf numFmtId="43" fontId="6" fillId="0" borderId="0" applyFont="0" applyFill="0" applyBorder="0" applyAlignment="0" applyProtection="0"/>
    <xf numFmtId="0" fontId="51" fillId="0" borderId="0"/>
    <xf numFmtId="0" fontId="53" fillId="0" borderId="0"/>
    <xf numFmtId="43" fontId="54" fillId="0" borderId="0" applyFont="0" applyFill="0" applyBorder="0" applyAlignment="0" applyProtection="0"/>
    <xf numFmtId="0" fontId="55" fillId="0" borderId="0"/>
    <xf numFmtId="43" fontId="56" fillId="0" borderId="0" applyFont="0" applyFill="0" applyBorder="0" applyAlignment="0" applyProtection="0"/>
    <xf numFmtId="0" fontId="57" fillId="0" borderId="0"/>
    <xf numFmtId="43" fontId="58" fillId="0" borderId="0" applyFont="0" applyFill="0" applyBorder="0" applyAlignment="0" applyProtection="0"/>
    <xf numFmtId="0" fontId="5" fillId="0" borderId="0"/>
    <xf numFmtId="43" fontId="5" fillId="0" borderId="0" applyFont="0" applyFill="0" applyBorder="0" applyAlignment="0" applyProtection="0"/>
    <xf numFmtId="0" fontId="59" fillId="0" borderId="0"/>
    <xf numFmtId="43" fontId="60" fillId="0" borderId="0" applyFont="0" applyFill="0" applyBorder="0" applyAlignment="0" applyProtection="0"/>
    <xf numFmtId="0" fontId="61" fillId="0" borderId="0"/>
    <xf numFmtId="43" fontId="62" fillId="0" borderId="0" applyFont="0" applyFill="0" applyBorder="0" applyAlignment="0" applyProtection="0"/>
    <xf numFmtId="0" fontId="63" fillId="0" borderId="0"/>
    <xf numFmtId="43" fontId="64" fillId="0" borderId="0" applyFont="0" applyFill="0" applyBorder="0" applyAlignment="0" applyProtection="0"/>
    <xf numFmtId="0" fontId="65" fillId="0" borderId="0"/>
    <xf numFmtId="43" fontId="66" fillId="0" borderId="0" applyFont="0" applyFill="0" applyBorder="0" applyAlignment="0" applyProtection="0"/>
    <xf numFmtId="0" fontId="67" fillId="0" borderId="0"/>
    <xf numFmtId="43" fontId="68" fillId="0" borderId="0" applyFont="0" applyFill="0" applyBorder="0" applyAlignment="0" applyProtection="0"/>
    <xf numFmtId="0" fontId="69" fillId="0" borderId="0"/>
    <xf numFmtId="43" fontId="70" fillId="0" borderId="0" applyFont="0" applyFill="0" applyBorder="0" applyAlignment="0" applyProtection="0"/>
    <xf numFmtId="0" fontId="71" fillId="0" borderId="0"/>
    <xf numFmtId="43" fontId="72" fillId="0" borderId="0" applyFont="0" applyFill="0" applyBorder="0" applyAlignment="0" applyProtection="0"/>
    <xf numFmtId="0" fontId="73" fillId="0" borderId="0"/>
    <xf numFmtId="43" fontId="74" fillId="0" borderId="0" applyFont="0" applyFill="0" applyBorder="0" applyAlignment="0" applyProtection="0"/>
    <xf numFmtId="0" fontId="75" fillId="0" borderId="0"/>
    <xf numFmtId="43" fontId="76" fillId="0" borderId="0" applyFont="0" applyFill="0" applyBorder="0" applyAlignment="0" applyProtection="0"/>
    <xf numFmtId="0" fontId="77" fillId="0" borderId="0"/>
    <xf numFmtId="43" fontId="78" fillId="0" borderId="0" applyFont="0" applyFill="0" applyBorder="0" applyAlignment="0" applyProtection="0"/>
    <xf numFmtId="0" fontId="79" fillId="0" borderId="0"/>
    <xf numFmtId="43" fontId="80" fillId="0" borderId="0" applyFont="0" applyFill="0" applyBorder="0" applyAlignment="0" applyProtection="0"/>
    <xf numFmtId="0" fontId="81" fillId="0" borderId="0"/>
    <xf numFmtId="43" fontId="82" fillId="0" borderId="0" applyFont="0" applyFill="0" applyBorder="0" applyAlignment="0" applyProtection="0"/>
    <xf numFmtId="0" fontId="83" fillId="0" borderId="0"/>
    <xf numFmtId="43" fontId="84" fillId="0" borderId="0" applyFont="0" applyFill="0" applyBorder="0" applyAlignment="0" applyProtection="0"/>
    <xf numFmtId="0" fontId="4" fillId="0" borderId="0"/>
    <xf numFmtId="43" fontId="4" fillId="0" borderId="0" applyFont="0" applyFill="0" applyBorder="0" applyAlignment="0" applyProtection="0"/>
    <xf numFmtId="0" fontId="85" fillId="0" borderId="0"/>
    <xf numFmtId="43" fontId="86" fillId="0" borderId="0" applyFont="0" applyFill="0" applyBorder="0" applyAlignment="0" applyProtection="0"/>
    <xf numFmtId="0" fontId="87" fillId="0" borderId="0"/>
    <xf numFmtId="43" fontId="88" fillId="0" borderId="0" applyFont="0" applyFill="0" applyBorder="0" applyAlignment="0" applyProtection="0"/>
    <xf numFmtId="0" fontId="89" fillId="0" borderId="0"/>
    <xf numFmtId="43" fontId="90" fillId="0" borderId="0" applyFont="0" applyFill="0" applyBorder="0" applyAlignment="0" applyProtection="0"/>
    <xf numFmtId="0" fontId="91" fillId="0" borderId="0"/>
    <xf numFmtId="43" fontId="92" fillId="0" borderId="0" applyFont="0" applyFill="0" applyBorder="0" applyAlignment="0" applyProtection="0"/>
    <xf numFmtId="0" fontId="93" fillId="0" borderId="0"/>
    <xf numFmtId="43" fontId="93" fillId="0" borderId="0" applyFont="0" applyFill="0" applyBorder="0" applyAlignment="0" applyProtection="0"/>
    <xf numFmtId="43" fontId="15" fillId="0" borderId="0" applyFont="0" applyFill="0" applyBorder="0" applyAlignment="0" applyProtection="0"/>
    <xf numFmtId="43" fontId="3"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0" fontId="17" fillId="0" borderId="0"/>
    <xf numFmtId="0" fontId="17" fillId="0" borderId="0"/>
    <xf numFmtId="0" fontId="17" fillId="0" borderId="0"/>
    <xf numFmtId="0" fontId="3" fillId="0" borderId="0"/>
    <xf numFmtId="0" fontId="17" fillId="0" borderId="0"/>
    <xf numFmtId="0" fontId="17" fillId="0" borderId="0"/>
    <xf numFmtId="0" fontId="17" fillId="0" borderId="0"/>
    <xf numFmtId="43" fontId="15" fillId="0" borderId="0" applyFont="0" applyFill="0" applyBorder="0" applyAlignment="0" applyProtection="0"/>
    <xf numFmtId="0" fontId="17" fillId="0" borderId="0"/>
    <xf numFmtId="43" fontId="15" fillId="0" borderId="0" applyFont="0" applyFill="0" applyBorder="0" applyAlignment="0" applyProtection="0"/>
    <xf numFmtId="0" fontId="3" fillId="0" borderId="0"/>
    <xf numFmtId="43" fontId="3" fillId="0" borderId="0" applyFont="0" applyFill="0" applyBorder="0" applyAlignment="0" applyProtection="0"/>
    <xf numFmtId="0" fontId="17"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17" fillId="0" borderId="0"/>
    <xf numFmtId="0" fontId="3" fillId="0" borderId="0"/>
    <xf numFmtId="43" fontId="3" fillId="0" borderId="0" applyFont="0" applyFill="0" applyBorder="0" applyAlignment="0" applyProtection="0"/>
    <xf numFmtId="0" fontId="3" fillId="0" borderId="0"/>
    <xf numFmtId="43" fontId="3" fillId="0" borderId="0" applyFont="0" applyFill="0" applyBorder="0" applyAlignment="0" applyProtection="0"/>
    <xf numFmtId="0" fontId="17" fillId="0" borderId="0"/>
    <xf numFmtId="0" fontId="3" fillId="0" borderId="0"/>
    <xf numFmtId="43" fontId="3" fillId="0" borderId="0" applyFont="0" applyFill="0" applyBorder="0" applyAlignment="0" applyProtection="0"/>
    <xf numFmtId="0" fontId="17" fillId="0" borderId="0"/>
    <xf numFmtId="0" fontId="3" fillId="0" borderId="0"/>
    <xf numFmtId="43" fontId="3" fillId="0" borderId="0" applyFont="0" applyFill="0" applyBorder="0" applyAlignment="0" applyProtection="0"/>
    <xf numFmtId="0" fontId="17" fillId="0" borderId="0"/>
    <xf numFmtId="0" fontId="17" fillId="0" borderId="0"/>
    <xf numFmtId="43" fontId="15" fillId="0" borderId="0" applyFont="0" applyFill="0" applyBorder="0" applyAlignment="0" applyProtection="0"/>
    <xf numFmtId="0" fontId="3" fillId="0" borderId="0"/>
    <xf numFmtId="43" fontId="3" fillId="0" borderId="0" applyFont="0" applyFill="0" applyBorder="0" applyAlignment="0" applyProtection="0"/>
    <xf numFmtId="0" fontId="17" fillId="0" borderId="0"/>
    <xf numFmtId="0" fontId="17" fillId="0" borderId="0"/>
    <xf numFmtId="43" fontId="15" fillId="0" borderId="0" applyFont="0" applyFill="0" applyBorder="0" applyAlignment="0" applyProtection="0"/>
    <xf numFmtId="0" fontId="17" fillId="0" borderId="0"/>
    <xf numFmtId="43" fontId="15" fillId="0" borderId="0" applyFont="0" applyFill="0" applyBorder="0" applyAlignment="0" applyProtection="0"/>
    <xf numFmtId="0" fontId="17" fillId="0" borderId="0"/>
    <xf numFmtId="43" fontId="15" fillId="0" borderId="0" applyFont="0" applyFill="0" applyBorder="0" applyAlignment="0" applyProtection="0"/>
    <xf numFmtId="0" fontId="3" fillId="0" borderId="0"/>
    <xf numFmtId="43" fontId="3" fillId="0" borderId="0" applyFont="0" applyFill="0" applyBorder="0" applyAlignment="0" applyProtection="0"/>
    <xf numFmtId="0" fontId="17" fillId="0" borderId="0"/>
    <xf numFmtId="43" fontId="15" fillId="0" borderId="0" applyFont="0" applyFill="0" applyBorder="0" applyAlignment="0" applyProtection="0"/>
    <xf numFmtId="0" fontId="17" fillId="0" borderId="0"/>
    <xf numFmtId="43" fontId="15" fillId="0" borderId="0" applyFont="0" applyFill="0" applyBorder="0" applyAlignment="0" applyProtection="0"/>
    <xf numFmtId="0" fontId="17" fillId="0" borderId="0"/>
    <xf numFmtId="43" fontId="15" fillId="0" borderId="0" applyFont="0" applyFill="0" applyBorder="0" applyAlignment="0" applyProtection="0"/>
    <xf numFmtId="0" fontId="17" fillId="0" borderId="0"/>
    <xf numFmtId="43" fontId="15" fillId="0" borderId="0" applyFont="0" applyFill="0" applyBorder="0" applyAlignment="0" applyProtection="0"/>
    <xf numFmtId="0" fontId="17" fillId="0" borderId="0"/>
    <xf numFmtId="43" fontId="15" fillId="0" borderId="0" applyFont="0" applyFill="0" applyBorder="0" applyAlignment="0" applyProtection="0"/>
    <xf numFmtId="0" fontId="17" fillId="0" borderId="0"/>
    <xf numFmtId="43" fontId="15" fillId="0" borderId="0" applyFont="0" applyFill="0" applyBorder="0" applyAlignment="0" applyProtection="0"/>
    <xf numFmtId="0" fontId="17" fillId="0" borderId="0"/>
    <xf numFmtId="43" fontId="15" fillId="0" borderId="0" applyFont="0" applyFill="0" applyBorder="0" applyAlignment="0" applyProtection="0"/>
    <xf numFmtId="0" fontId="17" fillId="0" borderId="0"/>
    <xf numFmtId="43" fontId="15" fillId="0" borderId="0" applyFont="0" applyFill="0" applyBorder="0" applyAlignment="0" applyProtection="0"/>
    <xf numFmtId="0" fontId="17" fillId="0" borderId="0"/>
    <xf numFmtId="43" fontId="15" fillId="0" borderId="0" applyFont="0" applyFill="0" applyBorder="0" applyAlignment="0" applyProtection="0"/>
    <xf numFmtId="0" fontId="17" fillId="0" borderId="0"/>
    <xf numFmtId="43" fontId="15" fillId="0" borderId="0" applyFont="0" applyFill="0" applyBorder="0" applyAlignment="0" applyProtection="0"/>
    <xf numFmtId="0" fontId="17" fillId="0" borderId="0"/>
    <xf numFmtId="43" fontId="15" fillId="0" borderId="0" applyFont="0" applyFill="0" applyBorder="0" applyAlignment="0" applyProtection="0"/>
    <xf numFmtId="0" fontId="17" fillId="0" borderId="0"/>
    <xf numFmtId="43" fontId="15" fillId="0" borderId="0" applyFont="0" applyFill="0" applyBorder="0" applyAlignment="0" applyProtection="0"/>
    <xf numFmtId="0" fontId="17" fillId="0" borderId="0"/>
    <xf numFmtId="43" fontId="15" fillId="0" borderId="0" applyFont="0" applyFill="0" applyBorder="0" applyAlignment="0" applyProtection="0"/>
    <xf numFmtId="0" fontId="3" fillId="0" borderId="0"/>
    <xf numFmtId="43" fontId="3" fillId="0" borderId="0" applyFont="0" applyFill="0" applyBorder="0" applyAlignment="0" applyProtection="0"/>
    <xf numFmtId="0" fontId="17" fillId="0" borderId="0"/>
    <xf numFmtId="43" fontId="15" fillId="0" borderId="0" applyFont="0" applyFill="0" applyBorder="0" applyAlignment="0" applyProtection="0"/>
    <xf numFmtId="0" fontId="17" fillId="0" borderId="0"/>
    <xf numFmtId="43" fontId="15" fillId="0" borderId="0" applyFont="0" applyFill="0" applyBorder="0" applyAlignment="0" applyProtection="0"/>
    <xf numFmtId="0" fontId="17" fillId="0" borderId="0"/>
    <xf numFmtId="43" fontId="15" fillId="0" borderId="0" applyFont="0" applyFill="0" applyBorder="0" applyAlignment="0" applyProtection="0"/>
    <xf numFmtId="0" fontId="17" fillId="0" borderId="0"/>
    <xf numFmtId="43" fontId="15" fillId="0" borderId="0" applyFont="0" applyFill="0" applyBorder="0" applyAlignment="0" applyProtection="0"/>
    <xf numFmtId="0" fontId="2" fillId="0" borderId="0"/>
    <xf numFmtId="44" fontId="2" fillId="0" borderId="0" applyFont="0" applyFill="0" applyBorder="0" applyAlignment="0" applyProtection="0"/>
    <xf numFmtId="43" fontId="2" fillId="0" borderId="0" applyFont="0" applyFill="0" applyBorder="0" applyAlignment="0" applyProtection="0"/>
    <xf numFmtId="0" fontId="28" fillId="0" borderId="0"/>
    <xf numFmtId="43" fontId="28"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43" fontId="15" fillId="0" borderId="0" applyFont="0" applyFill="0" applyBorder="0" applyAlignment="0" applyProtection="0"/>
    <xf numFmtId="43" fontId="28"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45" fillId="0" borderId="0" applyNumberFormat="0" applyFill="0" applyBorder="0" applyAlignment="0" applyProtection="0"/>
    <xf numFmtId="0" fontId="28" fillId="0" borderId="0"/>
    <xf numFmtId="0" fontId="2" fillId="0" borderId="0"/>
    <xf numFmtId="0" fontId="2" fillId="0" borderId="0"/>
    <xf numFmtId="43" fontId="14" fillId="0" borderId="0" applyFont="0" applyFill="0" applyBorder="0" applyAlignment="0" applyProtection="0"/>
    <xf numFmtId="44" fontId="28" fillId="0" borderId="0" applyFont="0" applyFill="0" applyBorder="0" applyAlignment="0" applyProtection="0"/>
    <xf numFmtId="0" fontId="1" fillId="0" borderId="0"/>
    <xf numFmtId="43" fontId="1" fillId="0" borderId="0" applyFont="0" applyFill="0" applyBorder="0" applyAlignment="0" applyProtection="0"/>
  </cellStyleXfs>
  <cellXfs count="484">
    <xf numFmtId="0" fontId="0" fillId="0" borderId="0" xfId="0"/>
    <xf numFmtId="0" fontId="14" fillId="0" borderId="0" xfId="0" applyFont="1"/>
    <xf numFmtId="0" fontId="14" fillId="0" borderId="0" xfId="0" applyFont="1" applyAlignment="1">
      <alignment horizontal="center"/>
    </xf>
    <xf numFmtId="0" fontId="14" fillId="0" borderId="0" xfId="0" applyFont="1" applyAlignment="1">
      <alignment horizontal="left"/>
    </xf>
    <xf numFmtId="49" fontId="0" fillId="0" borderId="0" xfId="0" applyNumberFormat="1"/>
    <xf numFmtId="43" fontId="0" fillId="0" borderId="0" xfId="1" applyFont="1"/>
    <xf numFmtId="165" fontId="36" fillId="0" borderId="0" xfId="1" applyNumberFormat="1" applyFont="1" applyBorder="1" applyAlignment="1">
      <alignment horizontal="center"/>
    </xf>
    <xf numFmtId="165" fontId="37" fillId="0" borderId="0" xfId="1" applyNumberFormat="1" applyFont="1" applyBorder="1"/>
    <xf numFmtId="165" fontId="40" fillId="0" borderId="0" xfId="1" applyNumberFormat="1" applyFont="1" applyBorder="1"/>
    <xf numFmtId="165" fontId="37" fillId="4" borderId="0" xfId="1" applyNumberFormat="1" applyFont="1" applyFill="1" applyBorder="1"/>
    <xf numFmtId="165" fontId="37" fillId="0" borderId="0" xfId="1" applyNumberFormat="1" applyFont="1" applyFill="1" applyBorder="1"/>
    <xf numFmtId="165" fontId="40" fillId="0" borderId="0" xfId="1" applyNumberFormat="1" applyFont="1" applyFill="1" applyBorder="1"/>
    <xf numFmtId="165" fontId="40" fillId="4" borderId="0" xfId="1" applyNumberFormat="1" applyFont="1" applyFill="1" applyBorder="1"/>
    <xf numFmtId="165" fontId="39" fillId="3" borderId="0" xfId="1" applyNumberFormat="1" applyFont="1" applyFill="1" applyBorder="1" applyAlignment="1"/>
    <xf numFmtId="165" fontId="37" fillId="5" borderId="0" xfId="1" applyNumberFormat="1" applyFont="1" applyFill="1" applyBorder="1"/>
    <xf numFmtId="165" fontId="39" fillId="5" borderId="0" xfId="1" applyNumberFormat="1" applyFont="1" applyFill="1" applyBorder="1" applyAlignment="1"/>
    <xf numFmtId="43" fontId="0" fillId="0" borderId="0" xfId="3" applyFont="1" applyFill="1"/>
    <xf numFmtId="43" fontId="37" fillId="0" borderId="0" xfId="1" applyFont="1" applyBorder="1"/>
    <xf numFmtId="43" fontId="0" fillId="0" borderId="0" xfId="30" applyFont="1"/>
    <xf numFmtId="165" fontId="37" fillId="0" borderId="0" xfId="1" applyNumberFormat="1" applyFont="1" applyFill="1" applyBorder="1" applyAlignment="1">
      <alignment horizontal="center"/>
    </xf>
    <xf numFmtId="14" fontId="0" fillId="0" borderId="0" xfId="0" applyNumberFormat="1"/>
    <xf numFmtId="164" fontId="94" fillId="0" borderId="1" xfId="0" applyNumberFormat="1" applyFont="1" applyBorder="1" applyAlignment="1">
      <alignment horizontal="center" wrapText="1"/>
    </xf>
    <xf numFmtId="165" fontId="94" fillId="0" borderId="1" xfId="1" applyNumberFormat="1" applyFont="1" applyBorder="1" applyAlignment="1">
      <alignment horizontal="center" wrapText="1"/>
    </xf>
    <xf numFmtId="43" fontId="94" fillId="0" borderId="1" xfId="1" applyFont="1" applyBorder="1" applyAlignment="1">
      <alignment horizontal="center" wrapText="1"/>
    </xf>
    <xf numFmtId="0" fontId="94" fillId="0" borderId="0" xfId="0" applyFont="1" applyAlignment="1">
      <alignment horizontal="center"/>
    </xf>
    <xf numFmtId="0" fontId="94" fillId="0" borderId="0" xfId="0" applyFont="1"/>
    <xf numFmtId="0" fontId="95" fillId="0" borderId="0" xfId="0" applyFont="1" applyAlignment="1">
      <alignment horizontal="center"/>
    </xf>
    <xf numFmtId="166" fontId="94" fillId="0" borderId="0" xfId="0" applyNumberFormat="1" applyFont="1" applyAlignment="1">
      <alignment horizontal="center"/>
    </xf>
    <xf numFmtId="165" fontId="94" fillId="0" borderId="0" xfId="0" applyNumberFormat="1" applyFont="1"/>
    <xf numFmtId="43" fontId="94" fillId="0" borderId="0" xfId="1" applyFont="1"/>
    <xf numFmtId="165" fontId="94" fillId="0" borderId="0" xfId="1" applyNumberFormat="1" applyFont="1" applyAlignment="1">
      <alignment horizontal="left"/>
    </xf>
    <xf numFmtId="0" fontId="37" fillId="0" borderId="0" xfId="0" applyFont="1" applyAlignment="1">
      <alignment vertical="center"/>
    </xf>
    <xf numFmtId="0" fontId="37" fillId="0" borderId="0" xfId="0" applyFont="1"/>
    <xf numFmtId="0" fontId="37" fillId="0" borderId="0" xfId="0" applyFont="1" applyAlignment="1">
      <alignment horizontal="center" vertical="center"/>
    </xf>
    <xf numFmtId="43" fontId="37" fillId="0" borderId="0" xfId="0" applyNumberFormat="1" applyFont="1"/>
    <xf numFmtId="0" fontId="37" fillId="0" borderId="0" xfId="0" applyFont="1" applyAlignment="1">
      <alignment horizontal="center"/>
    </xf>
    <xf numFmtId="0" fontId="37" fillId="0" borderId="0" xfId="0" applyFont="1" applyAlignment="1">
      <alignment horizontal="left"/>
    </xf>
    <xf numFmtId="43" fontId="37" fillId="0" borderId="0" xfId="0" applyNumberFormat="1" applyFont="1" applyAlignment="1">
      <alignment horizontal="center" vertical="center"/>
    </xf>
    <xf numFmtId="0" fontId="43" fillId="0" borderId="0" xfId="0" applyFont="1"/>
    <xf numFmtId="0" fontId="39" fillId="5" borderId="0" xfId="0" applyFont="1" applyFill="1"/>
    <xf numFmtId="0" fontId="39" fillId="5" borderId="0" xfId="0" applyFont="1" applyFill="1" applyAlignment="1">
      <alignment horizontal="center" vertical="center"/>
    </xf>
    <xf numFmtId="43" fontId="39" fillId="5" borderId="0" xfId="0" applyNumberFormat="1" applyFont="1" applyFill="1"/>
    <xf numFmtId="0" fontId="39" fillId="5" borderId="0" xfId="0" applyFont="1" applyFill="1" applyAlignment="1">
      <alignment horizontal="left"/>
    </xf>
    <xf numFmtId="0" fontId="37" fillId="5" borderId="0" xfId="0" applyFont="1" applyFill="1"/>
    <xf numFmtId="0" fontId="37" fillId="5" borderId="0" xfId="0" applyFont="1" applyFill="1" applyAlignment="1">
      <alignment horizontal="center" vertical="center"/>
    </xf>
    <xf numFmtId="43" fontId="37" fillId="5" borderId="0" xfId="0" applyNumberFormat="1" applyFont="1" applyFill="1"/>
    <xf numFmtId="0" fontId="37" fillId="5" borderId="0" xfId="0" applyFont="1" applyFill="1" applyAlignment="1">
      <alignment horizontal="center"/>
    </xf>
    <xf numFmtId="0" fontId="37" fillId="5" borderId="0" xfId="0" applyFont="1" applyFill="1" applyAlignment="1">
      <alignment horizontal="left"/>
    </xf>
    <xf numFmtId="14" fontId="37" fillId="0" borderId="0" xfId="0" applyNumberFormat="1" applyFont="1" applyAlignment="1">
      <alignment horizontal="center" vertical="center"/>
    </xf>
    <xf numFmtId="49" fontId="37" fillId="0" borderId="0" xfId="0" applyNumberFormat="1" applyFont="1"/>
    <xf numFmtId="0" fontId="40" fillId="0" borderId="0" xfId="0" applyFont="1"/>
    <xf numFmtId="0" fontId="40" fillId="0" borderId="0" xfId="0" applyFont="1" applyAlignment="1">
      <alignment horizontal="center"/>
    </xf>
    <xf numFmtId="0" fontId="41" fillId="0" borderId="0" xfId="0" applyFont="1" applyAlignment="1">
      <alignment horizontal="left"/>
    </xf>
    <xf numFmtId="0" fontId="38" fillId="5" borderId="0" xfId="0" applyFont="1" applyFill="1" applyAlignment="1">
      <alignment horizontal="left"/>
    </xf>
    <xf numFmtId="0" fontId="37" fillId="0" borderId="0" xfId="0" quotePrefix="1" applyFont="1"/>
    <xf numFmtId="0" fontId="38" fillId="0" borderId="0" xfId="0" applyFont="1" applyAlignment="1">
      <alignment horizontal="left"/>
    </xf>
    <xf numFmtId="3" fontId="37" fillId="0" borderId="0" xfId="0" quotePrefix="1" applyNumberFormat="1" applyFont="1"/>
    <xf numFmtId="49" fontId="37" fillId="0" borderId="0" xfId="0" quotePrefix="1" applyNumberFormat="1" applyFont="1" applyAlignment="1">
      <alignment horizontal="left"/>
    </xf>
    <xf numFmtId="49" fontId="37" fillId="0" borderId="0" xfId="0" applyNumberFormat="1" applyFont="1" applyAlignment="1">
      <alignment horizontal="left" vertical="center"/>
    </xf>
    <xf numFmtId="0" fontId="41" fillId="0" borderId="0" xfId="0" applyFont="1"/>
    <xf numFmtId="49" fontId="37" fillId="0" borderId="0" xfId="0" quotePrefix="1" applyNumberFormat="1" applyFont="1"/>
    <xf numFmtId="14" fontId="37" fillId="0" borderId="0" xfId="0" quotePrefix="1" applyNumberFormat="1" applyFont="1" applyAlignment="1">
      <alignment horizontal="center" vertical="center"/>
    </xf>
    <xf numFmtId="14" fontId="37" fillId="5" borderId="0" xfId="0" applyNumberFormat="1" applyFont="1" applyFill="1"/>
    <xf numFmtId="14" fontId="37" fillId="0" borderId="0" xfId="0" applyNumberFormat="1" applyFont="1"/>
    <xf numFmtId="14" fontId="37" fillId="0" borderId="0" xfId="0" applyNumberFormat="1" applyFont="1" applyAlignment="1">
      <alignment horizontal="center"/>
    </xf>
    <xf numFmtId="49" fontId="37" fillId="0" borderId="0" xfId="0" quotePrefix="1" applyNumberFormat="1" applyFont="1" applyAlignment="1">
      <alignment horizontal="left" vertical="center"/>
    </xf>
    <xf numFmtId="0" fontId="39" fillId="0" borderId="0" xfId="0" applyFont="1" applyAlignment="1">
      <alignment horizontal="center"/>
    </xf>
    <xf numFmtId="0" fontId="39" fillId="0" borderId="0" xfId="0" applyFont="1" applyAlignment="1">
      <alignment horizontal="center" vertical="center"/>
    </xf>
    <xf numFmtId="43" fontId="39" fillId="0" borderId="0" xfId="0" applyNumberFormat="1" applyFont="1" applyAlignment="1">
      <alignment horizontal="center"/>
    </xf>
    <xf numFmtId="0" fontId="39" fillId="0" borderId="0" xfId="0" applyFont="1" applyAlignment="1">
      <alignment horizontal="left"/>
    </xf>
    <xf numFmtId="0" fontId="39" fillId="0" borderId="0" xfId="0" applyFont="1"/>
    <xf numFmtId="0" fontId="39" fillId="3" borderId="0" xfId="0" applyFont="1" applyFill="1"/>
    <xf numFmtId="0" fontId="39" fillId="3" borderId="0" xfId="0" applyFont="1" applyFill="1" applyAlignment="1">
      <alignment horizontal="center" vertical="center"/>
    </xf>
    <xf numFmtId="43" fontId="39" fillId="3" borderId="0" xfId="0" applyNumberFormat="1" applyFont="1" applyFill="1"/>
    <xf numFmtId="0" fontId="39" fillId="3" borderId="0" xfId="0" applyFont="1" applyFill="1" applyAlignment="1">
      <alignment horizontal="left"/>
    </xf>
    <xf numFmtId="0" fontId="40" fillId="0" borderId="0" xfId="0" applyFont="1" applyAlignment="1">
      <alignment horizontal="center" vertical="center"/>
    </xf>
    <xf numFmtId="0" fontId="37" fillId="4" borderId="0" xfId="0" applyFont="1" applyFill="1"/>
    <xf numFmtId="0" fontId="37" fillId="4" borderId="0" xfId="0" applyFont="1" applyFill="1" applyAlignment="1">
      <alignment horizontal="center" vertical="center"/>
    </xf>
    <xf numFmtId="43" fontId="37" fillId="4" borderId="0" xfId="0" applyNumberFormat="1" applyFont="1" applyFill="1"/>
    <xf numFmtId="0" fontId="40" fillId="4" borderId="0" xfId="0" applyFont="1" applyFill="1" applyAlignment="1">
      <alignment horizontal="center" vertical="center"/>
    </xf>
    <xf numFmtId="0" fontId="37" fillId="4" borderId="0" xfId="0" applyFont="1" applyFill="1" applyAlignment="1">
      <alignment horizontal="center"/>
    </xf>
    <xf numFmtId="0" fontId="40" fillId="4" borderId="0" xfId="0" applyFont="1" applyFill="1" applyAlignment="1">
      <alignment horizontal="center"/>
    </xf>
    <xf numFmtId="0" fontId="37" fillId="4" borderId="0" xfId="0" applyFont="1" applyFill="1" applyAlignment="1">
      <alignment horizontal="left"/>
    </xf>
    <xf numFmtId="0" fontId="41" fillId="4" borderId="0" xfId="0" applyFont="1" applyFill="1"/>
    <xf numFmtId="0" fontId="42" fillId="0" borderId="0" xfId="0" applyFont="1" applyAlignment="1">
      <alignment horizontal="left"/>
    </xf>
    <xf numFmtId="0" fontId="30" fillId="0" borderId="0" xfId="0" applyFont="1" applyAlignment="1">
      <alignment horizontal="center"/>
    </xf>
    <xf numFmtId="0" fontId="38" fillId="4" borderId="0" xfId="0" applyFont="1" applyFill="1"/>
    <xf numFmtId="0" fontId="38" fillId="0" borderId="0" xfId="0" applyFont="1" applyAlignment="1">
      <alignment horizontal="center" vertical="center"/>
    </xf>
    <xf numFmtId="165" fontId="37" fillId="0" borderId="0" xfId="0" applyNumberFormat="1" applyFont="1"/>
    <xf numFmtId="14" fontId="40" fillId="0" borderId="0" xfId="0" applyNumberFormat="1" applyFont="1" applyAlignment="1">
      <alignment horizontal="center" vertical="center"/>
    </xf>
    <xf numFmtId="0" fontId="38" fillId="4" borderId="0" xfId="0" applyFont="1" applyFill="1" applyAlignment="1">
      <alignment horizontal="center" vertical="center"/>
    </xf>
    <xf numFmtId="0" fontId="38" fillId="4" borderId="0" xfId="0" applyFont="1" applyFill="1" applyAlignment="1">
      <alignment horizontal="left"/>
    </xf>
    <xf numFmtId="0" fontId="38" fillId="0" borderId="0" xfId="0" applyFont="1"/>
    <xf numFmtId="43" fontId="37" fillId="0" borderId="0" xfId="1" applyFont="1" applyFill="1" applyBorder="1"/>
    <xf numFmtId="14" fontId="37" fillId="4" borderId="0" xfId="0" applyNumberFormat="1" applyFont="1" applyFill="1" applyAlignment="1">
      <alignment horizontal="center" vertical="center"/>
    </xf>
    <xf numFmtId="43" fontId="38" fillId="0" borderId="0" xfId="0" applyNumberFormat="1" applyFont="1"/>
    <xf numFmtId="0" fontId="36" fillId="0" borderId="0" xfId="0" applyFont="1" applyAlignment="1">
      <alignment horizontal="center" vertical="center"/>
    </xf>
    <xf numFmtId="43" fontId="36" fillId="0" borderId="0" xfId="0" applyNumberFormat="1" applyFont="1" applyAlignment="1">
      <alignment horizontal="center"/>
    </xf>
    <xf numFmtId="0" fontId="36" fillId="0" borderId="0" xfId="0" applyFont="1" applyAlignment="1">
      <alignment horizontal="left"/>
    </xf>
    <xf numFmtId="4" fontId="97" fillId="0" borderId="0" xfId="0" applyNumberFormat="1" applyFont="1"/>
    <xf numFmtId="0" fontId="0" fillId="0" borderId="0" xfId="0" applyAlignment="1">
      <alignment wrapText="1"/>
    </xf>
    <xf numFmtId="0" fontId="0" fillId="0" borderId="0" xfId="0" pivotButton="1"/>
    <xf numFmtId="167" fontId="0" fillId="0" borderId="0" xfId="208" applyNumberFormat="1" applyFont="1"/>
    <xf numFmtId="165" fontId="0" fillId="0" borderId="0" xfId="1" applyNumberFormat="1" applyFont="1"/>
    <xf numFmtId="165" fontId="0" fillId="0" borderId="0" xfId="0" applyNumberFormat="1"/>
    <xf numFmtId="0" fontId="0" fillId="0" borderId="0" xfId="0" applyAlignment="1">
      <alignment horizontal="left" vertical="center"/>
    </xf>
    <xf numFmtId="164" fontId="94" fillId="0" borderId="5" xfId="0" applyNumberFormat="1" applyFont="1" applyBorder="1" applyAlignment="1">
      <alignment horizontal="center" wrapText="1"/>
    </xf>
    <xf numFmtId="43" fontId="94" fillId="0" borderId="6" xfId="1" applyFont="1" applyBorder="1" applyAlignment="1">
      <alignment horizontal="center" wrapText="1"/>
    </xf>
    <xf numFmtId="0" fontId="94" fillId="0" borderId="7" xfId="0" applyFont="1" applyBorder="1"/>
    <xf numFmtId="165" fontId="94" fillId="0" borderId="7" xfId="1" applyNumberFormat="1" applyFont="1" applyBorder="1"/>
    <xf numFmtId="167" fontId="94" fillId="0" borderId="8" xfId="208" applyNumberFormat="1" applyFont="1" applyBorder="1"/>
    <xf numFmtId="166" fontId="94" fillId="0" borderId="9" xfId="0" applyNumberFormat="1" applyFont="1" applyBorder="1" applyAlignment="1">
      <alignment horizontal="center"/>
    </xf>
    <xf numFmtId="43" fontId="94" fillId="0" borderId="0" xfId="1" applyFont="1" applyBorder="1"/>
    <xf numFmtId="43" fontId="94" fillId="0" borderId="0" xfId="1" applyFont="1" applyBorder="1" applyAlignment="1">
      <alignment horizontal="left"/>
    </xf>
    <xf numFmtId="165" fontId="0" fillId="0" borderId="0" xfId="1" applyNumberFormat="1" applyFont="1" applyBorder="1"/>
    <xf numFmtId="167" fontId="0" fillId="0" borderId="10" xfId="208" applyNumberFormat="1" applyFont="1" applyBorder="1"/>
    <xf numFmtId="0" fontId="0" fillId="0" borderId="9" xfId="0" applyBorder="1"/>
    <xf numFmtId="0" fontId="0" fillId="0" borderId="11" xfId="0" applyBorder="1"/>
    <xf numFmtId="43" fontId="0" fillId="0" borderId="12" xfId="1" applyFont="1" applyBorder="1"/>
    <xf numFmtId="0" fontId="0" fillId="0" borderId="12" xfId="0" applyBorder="1"/>
    <xf numFmtId="165" fontId="0" fillId="0" borderId="12" xfId="1" applyNumberFormat="1" applyFont="1" applyBorder="1"/>
    <xf numFmtId="167" fontId="0" fillId="0" borderId="13" xfId="208" applyNumberFormat="1" applyFont="1" applyBorder="1"/>
    <xf numFmtId="0" fontId="99" fillId="0" borderId="4" xfId="0" applyFont="1" applyBorder="1" applyAlignment="1">
      <alignment horizontal="center" vertical="center" wrapText="1"/>
    </xf>
    <xf numFmtId="0" fontId="0" fillId="0" borderId="15" xfId="0" applyBorder="1" applyAlignment="1">
      <alignment horizontal="center" vertical="center" wrapText="1"/>
    </xf>
    <xf numFmtId="0" fontId="0" fillId="0" borderId="14" xfId="0" applyBorder="1" applyAlignment="1">
      <alignment horizontal="center" vertical="center" wrapText="1"/>
    </xf>
    <xf numFmtId="4" fontId="100" fillId="0" borderId="0" xfId="0" applyNumberFormat="1" applyFont="1" applyAlignment="1">
      <alignment vertical="top" shrinkToFit="1"/>
    </xf>
    <xf numFmtId="0" fontId="101" fillId="0" borderId="0" xfId="0" applyFont="1" applyAlignment="1">
      <alignment vertical="top" wrapText="1"/>
    </xf>
    <xf numFmtId="39" fontId="100" fillId="0" borderId="0" xfId="0" applyNumberFormat="1" applyFont="1" applyAlignment="1">
      <alignment vertical="top" shrinkToFit="1"/>
    </xf>
    <xf numFmtId="2" fontId="100" fillId="0" borderId="0" xfId="0" applyNumberFormat="1" applyFont="1" applyAlignment="1">
      <alignment vertical="top" shrinkToFit="1"/>
    </xf>
    <xf numFmtId="0" fontId="0" fillId="0" borderId="0" xfId="0" applyAlignment="1">
      <alignment horizontal="left"/>
    </xf>
    <xf numFmtId="0" fontId="94" fillId="0" borderId="0" xfId="0" applyFont="1" applyAlignment="1">
      <alignment horizontal="left"/>
    </xf>
    <xf numFmtId="0" fontId="102" fillId="0" borderId="16" xfId="0" applyFont="1" applyBorder="1"/>
    <xf numFmtId="43" fontId="0" fillId="0" borderId="8" xfId="1" applyFont="1" applyBorder="1"/>
    <xf numFmtId="43" fontId="0" fillId="0" borderId="10" xfId="1" applyFont="1" applyBorder="1"/>
    <xf numFmtId="0" fontId="94" fillId="0" borderId="9" xfId="0" applyFont="1" applyBorder="1"/>
    <xf numFmtId="0" fontId="96" fillId="0" borderId="9" xfId="0" applyFont="1" applyBorder="1" applyAlignment="1">
      <alignment vertical="top" wrapText="1"/>
    </xf>
    <xf numFmtId="0" fontId="102" fillId="0" borderId="9" xfId="0" applyFont="1" applyBorder="1"/>
    <xf numFmtId="0" fontId="30" fillId="0" borderId="17" xfId="0" applyFont="1" applyBorder="1"/>
    <xf numFmtId="0" fontId="0" fillId="7" borderId="17" xfId="0" applyFill="1" applyBorder="1"/>
    <xf numFmtId="0" fontId="103" fillId="0" borderId="9" xfId="0" applyFont="1" applyBorder="1"/>
    <xf numFmtId="3" fontId="0" fillId="7" borderId="18" xfId="1" applyNumberFormat="1" applyFont="1" applyFill="1" applyBorder="1"/>
    <xf numFmtId="3" fontId="104" fillId="0" borderId="10" xfId="1" applyNumberFormat="1" applyFont="1" applyFill="1" applyBorder="1"/>
    <xf numFmtId="0" fontId="106" fillId="0" borderId="0" xfId="0" applyFont="1" applyAlignment="1">
      <alignment vertical="center"/>
    </xf>
    <xf numFmtId="0" fontId="37" fillId="0" borderId="20" xfId="0" applyFont="1" applyBorder="1" applyAlignment="1">
      <alignment horizontal="left" vertical="center" indent="1"/>
    </xf>
    <xf numFmtId="43" fontId="0" fillId="0" borderId="20" xfId="1" applyFont="1" applyBorder="1"/>
    <xf numFmtId="0" fontId="108" fillId="7" borderId="24" xfId="0" applyFont="1" applyFill="1" applyBorder="1" applyAlignment="1">
      <alignment horizontal="center" vertical="center" wrapText="1"/>
    </xf>
    <xf numFmtId="165" fontId="0" fillId="0" borderId="10" xfId="0" applyNumberFormat="1" applyBorder="1"/>
    <xf numFmtId="0" fontId="0" fillId="0" borderId="24" xfId="0" applyBorder="1"/>
    <xf numFmtId="0" fontId="0" fillId="0" borderId="25" xfId="0" applyBorder="1" applyAlignment="1">
      <alignment horizontal="right"/>
    </xf>
    <xf numFmtId="165" fontId="0" fillId="0" borderId="26" xfId="0" applyNumberFormat="1" applyBorder="1"/>
    <xf numFmtId="165" fontId="0" fillId="0" borderId="21" xfId="0" applyNumberFormat="1" applyBorder="1"/>
    <xf numFmtId="165" fontId="0" fillId="0" borderId="23" xfId="0" applyNumberFormat="1" applyBorder="1"/>
    <xf numFmtId="165" fontId="0" fillId="0" borderId="22" xfId="0" applyNumberFormat="1" applyBorder="1"/>
    <xf numFmtId="0" fontId="0" fillId="0" borderId="4" xfId="0" pivotButton="1" applyBorder="1"/>
    <xf numFmtId="165" fontId="0" fillId="0" borderId="4" xfId="0" applyNumberFormat="1" applyBorder="1"/>
    <xf numFmtId="167" fontId="0" fillId="0" borderId="4" xfId="0" applyNumberFormat="1" applyBorder="1"/>
    <xf numFmtId="43" fontId="0" fillId="0" borderId="0" xfId="0" applyNumberFormat="1"/>
    <xf numFmtId="165" fontId="0" fillId="0" borderId="0" xfId="2" applyNumberFormat="1" applyFont="1" applyBorder="1" applyAlignment="1">
      <alignment horizontal="right" wrapText="1"/>
    </xf>
    <xf numFmtId="166" fontId="0" fillId="0" borderId="11" xfId="0" applyNumberFormat="1" applyBorder="1"/>
    <xf numFmtId="37" fontId="0" fillId="0" borderId="0" xfId="0" applyNumberFormat="1"/>
    <xf numFmtId="37" fontId="94" fillId="0" borderId="0" xfId="0" applyNumberFormat="1" applyFont="1"/>
    <xf numFmtId="167" fontId="94" fillId="0" borderId="0" xfId="0" applyNumberFormat="1" applyFont="1"/>
    <xf numFmtId="43" fontId="0" fillId="0" borderId="0" xfId="1" applyFont="1" applyAlignment="1">
      <alignment horizontal="center"/>
    </xf>
    <xf numFmtId="167" fontId="0" fillId="0" borderId="0" xfId="0" applyNumberFormat="1" applyAlignment="1">
      <alignment vertical="center"/>
    </xf>
    <xf numFmtId="3" fontId="0" fillId="0" borderId="0" xfId="208" applyNumberFormat="1" applyFont="1"/>
    <xf numFmtId="4" fontId="0" fillId="0" borderId="0" xfId="0" applyNumberFormat="1"/>
    <xf numFmtId="14" fontId="37" fillId="0" borderId="0" xfId="0" quotePrefix="1" applyNumberFormat="1" applyFont="1" applyAlignment="1">
      <alignment horizontal="left"/>
    </xf>
    <xf numFmtId="166" fontId="0" fillId="0" borderId="9" xfId="0" applyNumberFormat="1" applyBorder="1"/>
    <xf numFmtId="0" fontId="112" fillId="9" borderId="0" xfId="0" applyFont="1" applyFill="1"/>
    <xf numFmtId="43" fontId="104" fillId="0" borderId="10" xfId="1" applyFont="1" applyFill="1" applyBorder="1"/>
    <xf numFmtId="0" fontId="107" fillId="12" borderId="0" xfId="0" applyFont="1" applyFill="1"/>
    <xf numFmtId="0" fontId="112" fillId="12" borderId="0" xfId="0" applyFont="1" applyFill="1"/>
    <xf numFmtId="0" fontId="107" fillId="11" borderId="0" xfId="0" applyFont="1" applyFill="1"/>
    <xf numFmtId="0" fontId="113" fillId="11" borderId="0" xfId="0" applyFont="1" applyFill="1" applyAlignment="1">
      <alignment vertical="center"/>
    </xf>
    <xf numFmtId="0" fontId="114" fillId="11" borderId="0" xfId="0" applyFont="1" applyFill="1" applyAlignment="1">
      <alignment horizontal="center" vertical="center"/>
    </xf>
    <xf numFmtId="0" fontId="112" fillId="11" borderId="0" xfId="0" applyFont="1" applyFill="1"/>
    <xf numFmtId="0" fontId="112" fillId="7" borderId="9" xfId="0" applyFont="1" applyFill="1" applyBorder="1"/>
    <xf numFmtId="0" fontId="112" fillId="7" borderId="0" xfId="0" applyFont="1" applyFill="1"/>
    <xf numFmtId="0" fontId="112" fillId="7" borderId="10" xfId="0" applyFont="1" applyFill="1" applyBorder="1"/>
    <xf numFmtId="0" fontId="119" fillId="7" borderId="0" xfId="0" applyFont="1" applyFill="1"/>
    <xf numFmtId="0" fontId="120" fillId="7" borderId="0" xfId="0" applyFont="1" applyFill="1"/>
    <xf numFmtId="165" fontId="118" fillId="7" borderId="0" xfId="1" applyNumberFormat="1" applyFont="1" applyFill="1" applyBorder="1" applyAlignment="1">
      <alignment horizontal="center"/>
    </xf>
    <xf numFmtId="0" fontId="110" fillId="7" borderId="9" xfId="0" applyFont="1" applyFill="1" applyBorder="1"/>
    <xf numFmtId="165" fontId="112" fillId="7" borderId="0" xfId="1" applyNumberFormat="1" applyFont="1" applyFill="1" applyBorder="1" applyAlignment="1">
      <alignment horizontal="center"/>
    </xf>
    <xf numFmtId="0" fontId="111" fillId="7" borderId="0" xfId="0" applyFont="1" applyFill="1" applyAlignment="1">
      <alignment vertical="center" readingOrder="1"/>
    </xf>
    <xf numFmtId="0" fontId="112" fillId="7" borderId="12" xfId="0" applyFont="1" applyFill="1" applyBorder="1"/>
    <xf numFmtId="0" fontId="112" fillId="7" borderId="13" xfId="0" applyFont="1" applyFill="1" applyBorder="1"/>
    <xf numFmtId="0" fontId="112" fillId="7" borderId="32" xfId="0" applyFont="1" applyFill="1" applyBorder="1"/>
    <xf numFmtId="0" fontId="115" fillId="7" borderId="30" xfId="0" applyFont="1" applyFill="1" applyBorder="1" applyAlignment="1">
      <alignment vertical="center"/>
    </xf>
    <xf numFmtId="0" fontId="115" fillId="7" borderId="33" xfId="0" applyFont="1" applyFill="1" applyBorder="1" applyAlignment="1">
      <alignment vertical="center"/>
    </xf>
    <xf numFmtId="0" fontId="115" fillId="7" borderId="0" xfId="0" applyFont="1" applyFill="1" applyAlignment="1">
      <alignment vertical="center"/>
    </xf>
    <xf numFmtId="0" fontId="115" fillId="7" borderId="10" xfId="0" applyFont="1" applyFill="1" applyBorder="1" applyAlignment="1">
      <alignment vertical="center"/>
    </xf>
    <xf numFmtId="0" fontId="116" fillId="7" borderId="0" xfId="0" applyFont="1" applyFill="1" applyAlignment="1">
      <alignment horizontal="center" vertical="center"/>
    </xf>
    <xf numFmtId="0" fontId="116" fillId="7" borderId="10" xfId="0" applyFont="1" applyFill="1" applyBorder="1" applyAlignment="1">
      <alignment horizontal="center" vertical="center"/>
    </xf>
    <xf numFmtId="5" fontId="120" fillId="7" borderId="0" xfId="208" applyNumberFormat="1" applyFont="1" applyFill="1" applyBorder="1" applyAlignment="1">
      <alignment horizontal="right"/>
    </xf>
    <xf numFmtId="43" fontId="118" fillId="10" borderId="8" xfId="1" applyFont="1" applyFill="1" applyBorder="1"/>
    <xf numFmtId="0" fontId="118" fillId="10" borderId="9" xfId="0" applyFont="1" applyFill="1" applyBorder="1"/>
    <xf numFmtId="0" fontId="119" fillId="10" borderId="10" xfId="0" applyFont="1" applyFill="1" applyBorder="1"/>
    <xf numFmtId="0" fontId="118" fillId="10" borderId="0" xfId="0" applyFont="1" applyFill="1"/>
    <xf numFmtId="0" fontId="118" fillId="10" borderId="10" xfId="0" applyFont="1" applyFill="1" applyBorder="1"/>
    <xf numFmtId="0" fontId="118" fillId="10" borderId="27" xfId="0" applyFont="1" applyFill="1" applyBorder="1"/>
    <xf numFmtId="0" fontId="118" fillId="10" borderId="28" xfId="0" applyFont="1" applyFill="1" applyBorder="1"/>
    <xf numFmtId="0" fontId="119" fillId="10" borderId="27" xfId="0" applyFont="1" applyFill="1" applyBorder="1"/>
    <xf numFmtId="0" fontId="119" fillId="10" borderId="28" xfId="0" applyFont="1" applyFill="1" applyBorder="1"/>
    <xf numFmtId="0" fontId="119" fillId="10" borderId="29" xfId="0" applyFont="1" applyFill="1" applyBorder="1"/>
    <xf numFmtId="165" fontId="118" fillId="10" borderId="10" xfId="1" applyNumberFormat="1" applyFont="1" applyFill="1" applyBorder="1" applyAlignment="1">
      <alignment horizontal="center"/>
    </xf>
    <xf numFmtId="165" fontId="118" fillId="10" borderId="0" xfId="1" applyNumberFormat="1" applyFont="1" applyFill="1" applyBorder="1" applyAlignment="1">
      <alignment horizontal="center"/>
    </xf>
    <xf numFmtId="165" fontId="118" fillId="10" borderId="9" xfId="1" applyNumberFormat="1" applyFont="1" applyFill="1" applyBorder="1" applyAlignment="1">
      <alignment horizontal="center"/>
    </xf>
    <xf numFmtId="165" fontId="118" fillId="10" borderId="13" xfId="1" applyNumberFormat="1" applyFont="1" applyFill="1" applyBorder="1" applyAlignment="1">
      <alignment horizontal="center"/>
    </xf>
    <xf numFmtId="165" fontId="118" fillId="10" borderId="12" xfId="1" applyNumberFormat="1" applyFont="1" applyFill="1" applyBorder="1" applyAlignment="1">
      <alignment horizontal="center"/>
    </xf>
    <xf numFmtId="165" fontId="118" fillId="10" borderId="11" xfId="1" applyNumberFormat="1" applyFont="1" applyFill="1" applyBorder="1" applyAlignment="1">
      <alignment horizontal="center"/>
    </xf>
    <xf numFmtId="165" fontId="117" fillId="10" borderId="17" xfId="208" applyNumberFormat="1" applyFont="1" applyFill="1" applyBorder="1" applyAlignment="1">
      <alignment vertical="center"/>
    </xf>
    <xf numFmtId="5" fontId="117" fillId="10" borderId="19" xfId="208" applyNumberFormat="1" applyFont="1" applyFill="1" applyBorder="1" applyAlignment="1">
      <alignment vertical="center"/>
    </xf>
    <xf numFmtId="5" fontId="117" fillId="10" borderId="18" xfId="208" applyNumberFormat="1" applyFont="1" applyFill="1" applyBorder="1" applyAlignment="1">
      <alignment vertical="center"/>
    </xf>
    <xf numFmtId="0" fontId="120" fillId="11" borderId="17" xfId="0" applyFont="1" applyFill="1" applyBorder="1"/>
    <xf numFmtId="0" fontId="120" fillId="11" borderId="4" xfId="0" applyFont="1" applyFill="1" applyBorder="1"/>
    <xf numFmtId="0" fontId="120" fillId="11" borderId="18" xfId="0" applyFont="1" applyFill="1" applyBorder="1" applyAlignment="1">
      <alignment horizontal="center"/>
    </xf>
    <xf numFmtId="5" fontId="122" fillId="11" borderId="18" xfId="208" applyNumberFormat="1" applyFont="1" applyFill="1" applyBorder="1" applyAlignment="1">
      <alignment horizontal="center"/>
    </xf>
    <xf numFmtId="0" fontId="121" fillId="10" borderId="9" xfId="0" applyFont="1" applyFill="1" applyBorder="1"/>
    <xf numFmtId="0" fontId="121" fillId="10" borderId="10" xfId="0" applyFont="1" applyFill="1" applyBorder="1"/>
    <xf numFmtId="0" fontId="126" fillId="10" borderId="9" xfId="0" applyFont="1" applyFill="1" applyBorder="1"/>
    <xf numFmtId="0" fontId="126" fillId="10" borderId="10" xfId="0" applyFont="1" applyFill="1" applyBorder="1"/>
    <xf numFmtId="43" fontId="124" fillId="10" borderId="10" xfId="1" applyFont="1" applyFill="1" applyBorder="1"/>
    <xf numFmtId="0" fontId="126" fillId="10" borderId="16" xfId="0" applyFont="1" applyFill="1" applyBorder="1"/>
    <xf numFmtId="0" fontId="118" fillId="10" borderId="29" xfId="0" applyFont="1" applyFill="1" applyBorder="1"/>
    <xf numFmtId="0" fontId="110" fillId="11" borderId="19" xfId="0" applyFont="1" applyFill="1" applyBorder="1"/>
    <xf numFmtId="0" fontId="129" fillId="13" borderId="0" xfId="0" applyFont="1" applyFill="1" applyAlignment="1">
      <alignment horizontal="left" vertical="center" wrapText="1"/>
    </xf>
    <xf numFmtId="0" fontId="112" fillId="7" borderId="30" xfId="0" applyFont="1" applyFill="1" applyBorder="1"/>
    <xf numFmtId="0" fontId="126" fillId="10" borderId="0" xfId="0" applyFont="1" applyFill="1"/>
    <xf numFmtId="0" fontId="124" fillId="10" borderId="0" xfId="0" applyFont="1" applyFill="1"/>
    <xf numFmtId="0" fontId="124" fillId="10" borderId="0" xfId="0" applyFont="1" applyFill="1" applyAlignment="1">
      <alignment vertical="top" wrapText="1"/>
    </xf>
    <xf numFmtId="0" fontId="121" fillId="10" borderId="0" xfId="0" applyFont="1" applyFill="1"/>
    <xf numFmtId="0" fontId="126" fillId="10" borderId="12" xfId="0" applyFont="1" applyFill="1" applyBorder="1"/>
    <xf numFmtId="0" fontId="123" fillId="11" borderId="19" xfId="0" applyFont="1" applyFill="1" applyBorder="1"/>
    <xf numFmtId="0" fontId="110" fillId="7" borderId="0" xfId="0" applyFont="1" applyFill="1"/>
    <xf numFmtId="0" fontId="113" fillId="12" borderId="0" xfId="0" applyFont="1" applyFill="1" applyAlignment="1">
      <alignment vertical="center"/>
    </xf>
    <xf numFmtId="0" fontId="114" fillId="12" borderId="0" xfId="0" applyFont="1" applyFill="1" applyAlignment="1">
      <alignment horizontal="center" vertical="center"/>
    </xf>
    <xf numFmtId="0" fontId="129" fillId="13" borderId="7" xfId="0" applyFont="1" applyFill="1" applyBorder="1" applyAlignment="1">
      <alignment horizontal="left" vertical="center" wrapText="1"/>
    </xf>
    <xf numFmtId="0" fontId="123" fillId="11" borderId="19" xfId="0" applyFont="1" applyFill="1" applyBorder="1" applyAlignment="1">
      <alignment vertical="center"/>
    </xf>
    <xf numFmtId="0" fontId="131" fillId="11" borderId="17" xfId="0" applyFont="1" applyFill="1" applyBorder="1" applyAlignment="1">
      <alignment vertical="center"/>
    </xf>
    <xf numFmtId="168" fontId="131" fillId="11" borderId="18" xfId="0" applyNumberFormat="1" applyFont="1" applyFill="1" applyBorder="1"/>
    <xf numFmtId="168" fontId="131" fillId="11" borderId="18" xfId="0" applyNumberFormat="1" applyFont="1" applyFill="1" applyBorder="1" applyAlignment="1">
      <alignment vertical="center"/>
    </xf>
    <xf numFmtId="168" fontId="132" fillId="11" borderId="10" xfId="208" applyNumberFormat="1" applyFont="1" applyFill="1" applyBorder="1" applyAlignment="1">
      <alignment horizontal="right"/>
    </xf>
    <xf numFmtId="0" fontId="132" fillId="10" borderId="9" xfId="0" applyFont="1" applyFill="1" applyBorder="1"/>
    <xf numFmtId="6" fontId="132" fillId="10" borderId="10" xfId="208" applyNumberFormat="1" applyFont="1" applyFill="1" applyBorder="1"/>
    <xf numFmtId="38" fontId="132" fillId="10" borderId="10" xfId="1" applyNumberFormat="1" applyFont="1" applyFill="1" applyBorder="1"/>
    <xf numFmtId="0" fontId="132" fillId="10" borderId="9" xfId="0" applyFont="1" applyFill="1" applyBorder="1" applyAlignment="1">
      <alignment vertical="center"/>
    </xf>
    <xf numFmtId="0" fontId="132" fillId="10" borderId="9" xfId="0" applyFont="1" applyFill="1" applyBorder="1" applyAlignment="1">
      <alignment horizontal="left" vertical="center"/>
    </xf>
    <xf numFmtId="0" fontId="131" fillId="10" borderId="9" xfId="0" applyFont="1" applyFill="1" applyBorder="1"/>
    <xf numFmtId="0" fontId="131" fillId="10" borderId="11" xfId="0" applyFont="1" applyFill="1" applyBorder="1"/>
    <xf numFmtId="165" fontId="132" fillId="10" borderId="10" xfId="1" applyNumberFormat="1" applyFont="1" applyFill="1" applyBorder="1" applyAlignment="1">
      <alignment horizontal="center"/>
    </xf>
    <xf numFmtId="165" fontId="132" fillId="10" borderId="13" xfId="1" applyNumberFormat="1" applyFont="1" applyFill="1" applyBorder="1" applyAlignment="1">
      <alignment horizontal="center"/>
    </xf>
    <xf numFmtId="165" fontId="131" fillId="10" borderId="18" xfId="208" applyNumberFormat="1" applyFont="1" applyFill="1" applyBorder="1" applyAlignment="1">
      <alignment vertical="center"/>
    </xf>
    <xf numFmtId="0" fontId="131" fillId="10" borderId="19" xfId="0" applyFont="1" applyFill="1" applyBorder="1" applyAlignment="1">
      <alignment vertical="center"/>
    </xf>
    <xf numFmtId="0" fontId="131" fillId="10" borderId="17" xfId="0" applyFont="1" applyFill="1" applyBorder="1" applyAlignment="1">
      <alignment vertical="center"/>
    </xf>
    <xf numFmtId="0" fontId="132" fillId="0" borderId="34" xfId="0" applyFont="1" applyBorder="1" applyAlignment="1">
      <alignment horizontal="center"/>
    </xf>
    <xf numFmtId="171" fontId="131" fillId="11" borderId="18" xfId="0" applyNumberFormat="1" applyFont="1" applyFill="1" applyBorder="1" applyAlignment="1">
      <alignment horizontal="right" vertical="center"/>
    </xf>
    <xf numFmtId="0" fontId="131" fillId="0" borderId="17" xfId="0" applyFont="1" applyBorder="1" applyAlignment="1">
      <alignment horizontal="left" vertical="center"/>
    </xf>
    <xf numFmtId="168" fontId="131" fillId="0" borderId="19" xfId="1" applyNumberFormat="1" applyFont="1" applyFill="1" applyBorder="1" applyAlignment="1">
      <alignment horizontal="right" vertical="center"/>
    </xf>
    <xf numFmtId="168" fontId="131" fillId="0" borderId="18" xfId="1" applyNumberFormat="1" applyFont="1" applyFill="1" applyBorder="1" applyAlignment="1">
      <alignment horizontal="right" vertical="center"/>
    </xf>
    <xf numFmtId="0" fontId="132" fillId="0" borderId="9" xfId="0" applyFont="1" applyBorder="1" applyAlignment="1">
      <alignment horizontal="left"/>
    </xf>
    <xf numFmtId="168" fontId="132" fillId="0" borderId="0" xfId="1" applyNumberFormat="1" applyFont="1" applyFill="1" applyBorder="1" applyAlignment="1">
      <alignment horizontal="right"/>
    </xf>
    <xf numFmtId="168" fontId="132" fillId="0" borderId="10" xfId="1" applyNumberFormat="1" applyFont="1" applyFill="1" applyBorder="1" applyAlignment="1">
      <alignment horizontal="right"/>
    </xf>
    <xf numFmtId="165" fontId="132" fillId="0" borderId="0" xfId="1" applyNumberFormat="1" applyFont="1" applyFill="1" applyBorder="1" applyAlignment="1">
      <alignment horizontal="left"/>
    </xf>
    <xf numFmtId="165" fontId="132" fillId="0" borderId="10" xfId="1" applyNumberFormat="1" applyFont="1" applyFill="1" applyBorder="1" applyAlignment="1">
      <alignment horizontal="right"/>
    </xf>
    <xf numFmtId="0" fontId="131" fillId="0" borderId="36" xfId="0" applyFont="1" applyBorder="1" applyAlignment="1">
      <alignment horizontal="center" vertical="center" wrapText="1"/>
    </xf>
    <xf numFmtId="0" fontId="131" fillId="0" borderId="37" xfId="0" applyFont="1" applyBorder="1" applyAlignment="1">
      <alignment horizontal="center"/>
    </xf>
    <xf numFmtId="168" fontId="131" fillId="11" borderId="18" xfId="1" applyNumberFormat="1" applyFont="1" applyFill="1" applyBorder="1" applyAlignment="1">
      <alignment horizontal="center"/>
    </xf>
    <xf numFmtId="0" fontId="131" fillId="0" borderId="19" xfId="0" applyFont="1" applyBorder="1" applyAlignment="1">
      <alignment horizontal="right" vertical="center"/>
    </xf>
    <xf numFmtId="0" fontId="131" fillId="0" borderId="18" xfId="0" applyFont="1" applyBorder="1" applyAlignment="1">
      <alignment horizontal="right" vertical="center"/>
    </xf>
    <xf numFmtId="0" fontId="131" fillId="7" borderId="9" xfId="0" applyFont="1" applyFill="1" applyBorder="1" applyAlignment="1">
      <alignment vertical="center"/>
    </xf>
    <xf numFmtId="0" fontId="123" fillId="7" borderId="0" xfId="0" applyFont="1" applyFill="1" applyAlignment="1">
      <alignment vertical="center"/>
    </xf>
    <xf numFmtId="168" fontId="131" fillId="7" borderId="0" xfId="0" applyNumberFormat="1" applyFont="1" applyFill="1" applyAlignment="1">
      <alignment vertical="center"/>
    </xf>
    <xf numFmtId="0" fontId="131" fillId="7" borderId="0" xfId="0" applyFont="1" applyFill="1" applyAlignment="1">
      <alignment vertical="center"/>
    </xf>
    <xf numFmtId="171" fontId="131" fillId="7" borderId="0" xfId="0" applyNumberFormat="1" applyFont="1" applyFill="1" applyAlignment="1">
      <alignment horizontal="right" vertical="center"/>
    </xf>
    <xf numFmtId="0" fontId="131" fillId="7" borderId="0" xfId="0" applyFont="1" applyFill="1" applyAlignment="1">
      <alignment horizontal="left" vertical="center"/>
    </xf>
    <xf numFmtId="168" fontId="131" fillId="7" borderId="0" xfId="1" applyNumberFormat="1" applyFont="1" applyFill="1" applyBorder="1" applyAlignment="1">
      <alignment horizontal="right" vertical="center"/>
    </xf>
    <xf numFmtId="168" fontId="131" fillId="7" borderId="10" xfId="1" applyNumberFormat="1" applyFont="1" applyFill="1" applyBorder="1" applyAlignment="1">
      <alignment horizontal="right" vertical="center"/>
    </xf>
    <xf numFmtId="43" fontId="30" fillId="0" borderId="17" xfId="1" applyFont="1" applyBorder="1"/>
    <xf numFmtId="0" fontId="30" fillId="0" borderId="19" xfId="0" applyFont="1" applyBorder="1"/>
    <xf numFmtId="0" fontId="30" fillId="0" borderId="18" xfId="0" applyFont="1" applyBorder="1"/>
    <xf numFmtId="0" fontId="0" fillId="0" borderId="19" xfId="0" applyBorder="1"/>
    <xf numFmtId="0" fontId="0" fillId="0" borderId="18" xfId="0" applyBorder="1"/>
    <xf numFmtId="43" fontId="0" fillId="0" borderId="9" xfId="1" applyFont="1" applyBorder="1" applyAlignment="1">
      <alignment horizontal="left"/>
    </xf>
    <xf numFmtId="0" fontId="30" fillId="14" borderId="17" xfId="0" applyFont="1" applyFill="1" applyBorder="1" applyAlignment="1">
      <alignment horizontal="left" vertical="center"/>
    </xf>
    <xf numFmtId="165" fontId="112" fillId="7" borderId="18" xfId="1" applyNumberFormat="1" applyFont="1" applyFill="1" applyBorder="1" applyAlignment="1">
      <alignment horizontal="center"/>
    </xf>
    <xf numFmtId="0" fontId="0" fillId="0" borderId="9" xfId="0" applyBorder="1" applyAlignment="1">
      <alignment horizontal="center" vertical="center" wrapText="1"/>
    </xf>
    <xf numFmtId="43" fontId="0" fillId="0" borderId="23" xfId="0" applyNumberFormat="1" applyBorder="1" applyAlignment="1">
      <alignment horizontal="center" vertical="center" wrapText="1"/>
    </xf>
    <xf numFmtId="165" fontId="30" fillId="14" borderId="18" xfId="1" applyNumberFormat="1" applyFont="1" applyFill="1" applyBorder="1" applyAlignment="1">
      <alignment horizontal="left" vertical="center"/>
    </xf>
    <xf numFmtId="165" fontId="0" fillId="0" borderId="10" xfId="1" applyNumberFormat="1" applyFont="1" applyBorder="1"/>
    <xf numFmtId="0" fontId="98" fillId="8" borderId="17" xfId="0" quotePrefix="1" applyFont="1" applyFill="1" applyBorder="1" applyAlignment="1">
      <alignment horizontal="center" vertical="center" wrapText="1"/>
    </xf>
    <xf numFmtId="0" fontId="98" fillId="8" borderId="19" xfId="0" quotePrefix="1" applyFont="1" applyFill="1" applyBorder="1" applyAlignment="1">
      <alignment horizontal="center" vertical="center" wrapText="1"/>
    </xf>
    <xf numFmtId="0" fontId="98" fillId="8" borderId="18" xfId="0" quotePrefix="1" applyFont="1" applyFill="1" applyBorder="1" applyAlignment="1">
      <alignment horizontal="center" vertical="center" wrapText="1"/>
    </xf>
    <xf numFmtId="3" fontId="132" fillId="11" borderId="23" xfId="0" applyNumberFormat="1" applyFont="1" applyFill="1" applyBorder="1" applyAlignment="1">
      <alignment vertical="top" shrinkToFit="1"/>
    </xf>
    <xf numFmtId="0" fontId="132" fillId="11" borderId="10" xfId="0" applyFont="1" applyFill="1" applyBorder="1" applyAlignment="1">
      <alignment horizontal="center" vertical="top" shrinkToFit="1"/>
    </xf>
    <xf numFmtId="0" fontId="132" fillId="11" borderId="13" xfId="0" applyFont="1" applyFill="1" applyBorder="1" applyAlignment="1">
      <alignment horizontal="center" vertical="top" shrinkToFit="1"/>
    </xf>
    <xf numFmtId="0" fontId="131" fillId="11" borderId="17" xfId="0" applyFont="1" applyFill="1" applyBorder="1" applyAlignment="1">
      <alignment horizontal="left" vertical="center" readingOrder="1"/>
    </xf>
    <xf numFmtId="0" fontId="131" fillId="11" borderId="4" xfId="0" applyFont="1" applyFill="1" applyBorder="1" applyAlignment="1">
      <alignment horizontal="center" vertical="center" readingOrder="1"/>
    </xf>
    <xf numFmtId="0" fontId="131" fillId="11" borderId="18" xfId="0" applyFont="1" applyFill="1" applyBorder="1" applyAlignment="1">
      <alignment horizontal="center" vertical="center" readingOrder="1"/>
    </xf>
    <xf numFmtId="0" fontId="131" fillId="11" borderId="17" xfId="0" applyFont="1" applyFill="1" applyBorder="1"/>
    <xf numFmtId="14" fontId="0" fillId="0" borderId="0" xfId="1" applyNumberFormat="1" applyFont="1"/>
    <xf numFmtId="5" fontId="131" fillId="11" borderId="4" xfId="208" applyNumberFormat="1" applyFont="1" applyFill="1" applyBorder="1" applyAlignment="1">
      <alignment horizontal="right"/>
    </xf>
    <xf numFmtId="0" fontId="131" fillId="0" borderId="19" xfId="0" applyFont="1" applyBorder="1" applyAlignment="1">
      <alignment horizontal="center"/>
    </xf>
    <xf numFmtId="0" fontId="124" fillId="0" borderId="0" xfId="0" applyFont="1"/>
    <xf numFmtId="170" fontId="133" fillId="0" borderId="10" xfId="1" applyNumberFormat="1" applyFont="1" applyFill="1" applyBorder="1" applyAlignment="1">
      <alignment horizontal="right"/>
    </xf>
    <xf numFmtId="165" fontId="124" fillId="0" borderId="0" xfId="1" applyNumberFormat="1" applyFont="1" applyFill="1" applyBorder="1" applyAlignment="1">
      <alignment horizontal="center"/>
    </xf>
    <xf numFmtId="0" fontId="125" fillId="0" borderId="0" xfId="0" applyFont="1" applyAlignment="1">
      <alignment vertical="center" readingOrder="1"/>
    </xf>
    <xf numFmtId="43" fontId="0" fillId="0" borderId="0" xfId="2" applyFont="1" applyBorder="1" applyAlignment="1">
      <alignment horizontal="right" wrapText="1"/>
    </xf>
    <xf numFmtId="43" fontId="0" fillId="0" borderId="0" xfId="1" applyFont="1" applyBorder="1" applyAlignment="1">
      <alignment horizontal="right" wrapText="1"/>
    </xf>
    <xf numFmtId="43" fontId="94" fillId="0" borderId="0" xfId="0" applyNumberFormat="1" applyFont="1" applyAlignment="1">
      <alignment horizontal="left"/>
    </xf>
    <xf numFmtId="165" fontId="0" fillId="0" borderId="10" xfId="1" applyNumberFormat="1" applyFont="1" applyBorder="1" applyAlignment="1">
      <alignment horizontal="right"/>
    </xf>
    <xf numFmtId="0" fontId="112" fillId="15" borderId="9" xfId="0" applyFont="1" applyFill="1" applyBorder="1"/>
    <xf numFmtId="0" fontId="112" fillId="15" borderId="0" xfId="0" applyFont="1" applyFill="1"/>
    <xf numFmtId="0" fontId="112" fillId="15" borderId="10" xfId="0" applyFont="1" applyFill="1" applyBorder="1"/>
    <xf numFmtId="165" fontId="39" fillId="0" borderId="0" xfId="1" applyNumberFormat="1" applyFont="1" applyFill="1" applyBorder="1" applyAlignment="1">
      <alignment horizontal="center"/>
    </xf>
    <xf numFmtId="0" fontId="36" fillId="0" borderId="0" xfId="0" applyFont="1" applyAlignment="1">
      <alignment horizontal="center"/>
    </xf>
    <xf numFmtId="0" fontId="39" fillId="3" borderId="0" xfId="0" applyFont="1" applyFill="1" applyAlignment="1">
      <alignment horizontal="center"/>
    </xf>
    <xf numFmtId="0" fontId="39" fillId="5" borderId="0" xfId="0" applyFont="1" applyFill="1" applyAlignment="1">
      <alignment horizontal="center"/>
    </xf>
    <xf numFmtId="43" fontId="0" fillId="0" borderId="0" xfId="1" applyFont="1" applyBorder="1" applyAlignment="1">
      <alignment horizontal="left"/>
    </xf>
    <xf numFmtId="0" fontId="0" fillId="0" borderId="0" xfId="0" applyAlignment="1">
      <alignment horizontal="center"/>
    </xf>
    <xf numFmtId="0" fontId="137" fillId="0" borderId="0" xfId="0" applyFont="1" applyAlignment="1">
      <alignment horizontal="center"/>
    </xf>
    <xf numFmtId="43" fontId="0" fillId="0" borderId="0" xfId="2" applyFont="1" applyBorder="1" applyAlignment="1">
      <alignment horizontal="right"/>
    </xf>
    <xf numFmtId="14" fontId="0" fillId="0" borderId="0" xfId="1" applyNumberFormat="1" applyFont="1" applyFill="1" applyBorder="1" applyAlignment="1">
      <alignment wrapText="1"/>
    </xf>
    <xf numFmtId="43" fontId="0" fillId="0" borderId="0" xfId="2" applyFont="1" applyFill="1" applyBorder="1" applyAlignment="1">
      <alignment horizontal="right"/>
    </xf>
    <xf numFmtId="43" fontId="137" fillId="0" borderId="0" xfId="2" applyFont="1" applyFill="1" applyBorder="1" applyAlignment="1">
      <alignment horizontal="right"/>
    </xf>
    <xf numFmtId="165" fontId="0" fillId="0" borderId="0" xfId="1" applyNumberFormat="1" applyFont="1" applyFill="1" applyBorder="1"/>
    <xf numFmtId="165" fontId="112" fillId="11" borderId="0" xfId="0" applyNumberFormat="1" applyFont="1" applyFill="1"/>
    <xf numFmtId="0" fontId="132" fillId="0" borderId="38" xfId="0" applyFont="1" applyBorder="1" applyAlignment="1">
      <alignment horizontal="left"/>
    </xf>
    <xf numFmtId="168" fontId="132" fillId="11" borderId="21" xfId="1" applyNumberFormat="1" applyFont="1" applyFill="1" applyBorder="1" applyAlignment="1">
      <alignment horizontal="right"/>
    </xf>
    <xf numFmtId="3" fontId="132" fillId="11" borderId="22" xfId="0" applyNumberFormat="1" applyFont="1" applyFill="1" applyBorder="1" applyAlignment="1">
      <alignment vertical="top" shrinkToFit="1"/>
    </xf>
    <xf numFmtId="168" fontId="30" fillId="0" borderId="20" xfId="1" applyNumberFormat="1" applyFont="1" applyBorder="1"/>
    <xf numFmtId="43" fontId="132" fillId="0" borderId="34" xfId="0" applyNumberFormat="1" applyFont="1" applyBorder="1" applyAlignment="1">
      <alignment horizontal="left"/>
    </xf>
    <xf numFmtId="172" fontId="30" fillId="0" borderId="20" xfId="1" applyNumberFormat="1" applyFont="1" applyBorder="1"/>
    <xf numFmtId="3" fontId="132" fillId="11" borderId="10" xfId="1" applyNumberFormat="1" applyFont="1" applyFill="1" applyBorder="1" applyAlignment="1">
      <alignment horizontal="right"/>
    </xf>
    <xf numFmtId="43" fontId="108" fillId="7" borderId="24" xfId="1" applyFont="1" applyFill="1" applyBorder="1" applyAlignment="1">
      <alignment horizontal="center" vertical="center" wrapText="1"/>
    </xf>
    <xf numFmtId="4" fontId="0" fillId="6" borderId="18" xfId="1" applyNumberFormat="1" applyFont="1" applyFill="1" applyBorder="1"/>
    <xf numFmtId="0" fontId="0" fillId="0" borderId="0" xfId="1" applyNumberFormat="1" applyFont="1" applyBorder="1"/>
    <xf numFmtId="173" fontId="0" fillId="0" borderId="20" xfId="0" applyNumberFormat="1" applyBorder="1"/>
    <xf numFmtId="0" fontId="0" fillId="0" borderId="20" xfId="0" applyBorder="1"/>
    <xf numFmtId="0" fontId="16" fillId="0" borderId="0" xfId="0" applyFont="1" applyAlignment="1">
      <alignment horizontal="center"/>
    </xf>
    <xf numFmtId="0" fontId="30" fillId="7" borderId="1" xfId="0" applyFont="1" applyFill="1" applyBorder="1"/>
    <xf numFmtId="43" fontId="0" fillId="0" borderId="39" xfId="0" applyNumberFormat="1" applyBorder="1"/>
    <xf numFmtId="43" fontId="138" fillId="0" borderId="0" xfId="90" applyFont="1" applyAlignment="1"/>
    <xf numFmtId="0" fontId="0" fillId="0" borderId="28" xfId="0" applyBorder="1"/>
    <xf numFmtId="173" fontId="0" fillId="0" borderId="28" xfId="0" applyNumberFormat="1" applyBorder="1"/>
    <xf numFmtId="3" fontId="0" fillId="0" borderId="0" xfId="208" applyNumberFormat="1" applyFont="1" applyFill="1"/>
    <xf numFmtId="173" fontId="0" fillId="0" borderId="0" xfId="0" applyNumberFormat="1"/>
    <xf numFmtId="43" fontId="0" fillId="0" borderId="0" xfId="1" applyFont="1" applyFill="1"/>
    <xf numFmtId="165" fontId="0" fillId="0" borderId="0" xfId="1" applyNumberFormat="1" applyFont="1" applyBorder="1" applyAlignment="1">
      <alignment horizontal="right"/>
    </xf>
    <xf numFmtId="43" fontId="37" fillId="0" borderId="0" xfId="1" applyFont="1"/>
    <xf numFmtId="0" fontId="30" fillId="14" borderId="19" xfId="0" applyFont="1" applyFill="1" applyBorder="1" applyAlignment="1">
      <alignment horizontal="left" vertical="center"/>
    </xf>
    <xf numFmtId="39" fontId="37" fillId="0" borderId="0" xfId="0" applyNumberFormat="1" applyFont="1"/>
    <xf numFmtId="43" fontId="0" fillId="0" borderId="0" xfId="30" applyFont="1" applyFill="1"/>
    <xf numFmtId="0" fontId="38" fillId="0" borderId="0" xfId="0" applyFont="1" applyAlignment="1">
      <alignment horizontal="center" vertical="center" wrapText="1"/>
    </xf>
    <xf numFmtId="43" fontId="94" fillId="0" borderId="0" xfId="1" applyFont="1" applyFill="1"/>
    <xf numFmtId="165" fontId="94" fillId="0" borderId="0" xfId="1" applyNumberFormat="1" applyFont="1" applyFill="1" applyAlignment="1">
      <alignment horizontal="left"/>
    </xf>
    <xf numFmtId="0" fontId="0" fillId="5" borderId="9" xfId="0" applyFill="1" applyBorder="1" applyAlignment="1">
      <alignment horizontal="center" vertical="center" wrapText="1"/>
    </xf>
    <xf numFmtId="43" fontId="0" fillId="5" borderId="22" xfId="0" applyNumberFormat="1" applyFill="1" applyBorder="1" applyAlignment="1">
      <alignment horizontal="center" vertical="center" wrapText="1"/>
    </xf>
    <xf numFmtId="165" fontId="139" fillId="0" borderId="0" xfId="0" applyNumberFormat="1" applyFont="1"/>
    <xf numFmtId="0" fontId="30" fillId="0" borderId="0" xfId="0" applyFont="1"/>
    <xf numFmtId="165" fontId="0" fillId="5" borderId="10" xfId="0" applyNumberFormat="1" applyFill="1" applyBorder="1"/>
    <xf numFmtId="0" fontId="140" fillId="0" borderId="0" xfId="0" applyFont="1"/>
    <xf numFmtId="43" fontId="0" fillId="0" borderId="0" xfId="0" applyNumberFormat="1" applyAlignment="1">
      <alignment horizontal="center"/>
    </xf>
    <xf numFmtId="3" fontId="132" fillId="11" borderId="10" xfId="208" applyNumberFormat="1" applyFont="1" applyFill="1" applyBorder="1" applyAlignment="1">
      <alignment horizontal="right"/>
    </xf>
    <xf numFmtId="14" fontId="37" fillId="0" borderId="0" xfId="0" quotePrefix="1" applyNumberFormat="1" applyFont="1" applyAlignment="1">
      <alignment horizontal="left" vertical="center"/>
    </xf>
    <xf numFmtId="174" fontId="141" fillId="0" borderId="0" xfId="0" applyNumberFormat="1" applyFont="1" applyAlignment="1">
      <alignment horizontal="center" vertical="center" wrapText="1"/>
    </xf>
    <xf numFmtId="0" fontId="141" fillId="0" borderId="0" xfId="0" applyFont="1" applyAlignment="1">
      <alignment horizontal="center" vertical="center" wrapText="1"/>
    </xf>
    <xf numFmtId="0" fontId="141" fillId="0" borderId="0" xfId="0" applyFont="1" applyAlignment="1">
      <alignment horizontal="center" vertical="center"/>
    </xf>
    <xf numFmtId="0" fontId="142" fillId="0" borderId="0" xfId="0" applyFont="1" applyAlignment="1" applyProtection="1">
      <alignment horizontal="center" vertical="center" wrapText="1"/>
      <protection locked="0"/>
    </xf>
    <xf numFmtId="0" fontId="141" fillId="0" borderId="0" xfId="0" applyFont="1" applyAlignment="1">
      <alignment horizontal="left" vertical="center" wrapText="1"/>
    </xf>
    <xf numFmtId="49" fontId="143" fillId="2" borderId="2" xfId="0" applyNumberFormat="1" applyFont="1" applyFill="1" applyBorder="1" applyAlignment="1">
      <alignment horizontal="left" vertical="center"/>
    </xf>
    <xf numFmtId="49" fontId="144" fillId="2" borderId="2" xfId="0" applyNumberFormat="1" applyFont="1" applyFill="1" applyBorder="1" applyAlignment="1">
      <alignment horizontal="left" vertical="center"/>
    </xf>
    <xf numFmtId="49" fontId="144" fillId="2" borderId="2" xfId="0" applyNumberFormat="1" applyFont="1" applyFill="1" applyBorder="1" applyAlignment="1">
      <alignment horizontal="center" vertical="center"/>
    </xf>
    <xf numFmtId="14" fontId="144" fillId="2" borderId="2" xfId="0" applyNumberFormat="1" applyFont="1" applyFill="1" applyBorder="1" applyAlignment="1">
      <alignment horizontal="center" vertical="center"/>
    </xf>
    <xf numFmtId="0" fontId="144" fillId="2" borderId="2" xfId="0" applyFont="1" applyFill="1" applyBorder="1" applyAlignment="1">
      <alignment horizontal="center" vertical="center"/>
    </xf>
    <xf numFmtId="49" fontId="144" fillId="2" borderId="2" xfId="0" applyNumberFormat="1" applyFont="1" applyFill="1" applyBorder="1" applyAlignment="1">
      <alignment horizontal="center" vertical="center" wrapText="1"/>
    </xf>
    <xf numFmtId="49" fontId="144" fillId="2" borderId="2" xfId="0" quotePrefix="1" applyNumberFormat="1" applyFont="1" applyFill="1" applyBorder="1" applyAlignment="1">
      <alignment horizontal="center" vertical="center" wrapText="1"/>
    </xf>
    <xf numFmtId="0" fontId="141" fillId="0" borderId="0" xfId="0" applyFont="1"/>
    <xf numFmtId="0" fontId="145" fillId="0" borderId="0" xfId="0" applyFont="1"/>
    <xf numFmtId="14" fontId="141" fillId="0" borderId="0" xfId="0" applyNumberFormat="1" applyFont="1"/>
    <xf numFmtId="0" fontId="141" fillId="0" borderId="0" xfId="0" applyFont="1" applyAlignment="1">
      <alignment vertical="center"/>
    </xf>
    <xf numFmtId="0" fontId="141" fillId="0" borderId="0" xfId="0" applyFont="1" applyAlignment="1">
      <alignment horizontal="center"/>
    </xf>
    <xf numFmtId="0" fontId="141" fillId="0" borderId="0" xfId="0" applyFont="1" applyAlignment="1">
      <alignment wrapText="1"/>
    </xf>
    <xf numFmtId="0" fontId="146" fillId="0" borderId="0" xfId="0" applyFont="1"/>
    <xf numFmtId="1" fontId="141" fillId="0" borderId="0" xfId="0" applyNumberFormat="1" applyFont="1" applyAlignment="1">
      <alignment horizontal="center" vertical="center"/>
    </xf>
    <xf numFmtId="14" fontId="141" fillId="0" borderId="0" xfId="0" applyNumberFormat="1" applyFont="1" applyAlignment="1">
      <alignment horizontal="center" vertical="center"/>
    </xf>
    <xf numFmtId="44" fontId="141" fillId="0" borderId="0" xfId="90" applyNumberFormat="1" applyFont="1" applyFill="1" applyAlignment="1">
      <alignment horizontal="center" vertical="center"/>
    </xf>
    <xf numFmtId="0" fontId="141" fillId="0" borderId="0" xfId="0" applyFont="1" applyAlignment="1">
      <alignment vertical="center" wrapText="1"/>
    </xf>
    <xf numFmtId="22" fontId="141" fillId="0" borderId="0" xfId="0" applyNumberFormat="1" applyFont="1" applyAlignment="1">
      <alignment vertical="center"/>
    </xf>
    <xf numFmtId="0" fontId="141" fillId="0" borderId="0" xfId="0" quotePrefix="1" applyFont="1" applyAlignment="1">
      <alignment horizontal="center" vertical="center"/>
    </xf>
    <xf numFmtId="22" fontId="141" fillId="0" borderId="0" xfId="0" applyNumberFormat="1" applyFont="1" applyAlignment="1">
      <alignment horizontal="center" vertical="center"/>
    </xf>
    <xf numFmtId="49" fontId="141" fillId="0" borderId="0" xfId="0" applyNumberFormat="1" applyFont="1" applyAlignment="1">
      <alignment horizontal="center" vertical="center"/>
    </xf>
    <xf numFmtId="22" fontId="141" fillId="0" borderId="0" xfId="0" applyNumberFormat="1" applyFont="1"/>
    <xf numFmtId="17" fontId="141" fillId="0" borderId="0" xfId="0" applyNumberFormat="1" applyFont="1" applyAlignment="1">
      <alignment horizontal="center" vertical="center" wrapText="1"/>
    </xf>
    <xf numFmtId="17" fontId="141" fillId="0" borderId="0" xfId="0" quotePrefix="1" applyNumberFormat="1" applyFont="1" applyAlignment="1">
      <alignment horizontal="center" vertical="center" wrapText="1"/>
    </xf>
    <xf numFmtId="1" fontId="141" fillId="0" borderId="0" xfId="0" applyNumberFormat="1" applyFont="1" applyAlignment="1">
      <alignment horizontal="center" vertical="center" wrapText="1"/>
    </xf>
    <xf numFmtId="1" fontId="141" fillId="0" borderId="0" xfId="0" applyNumberFormat="1" applyFont="1"/>
    <xf numFmtId="0" fontId="141" fillId="0" borderId="0" xfId="0" quotePrefix="1" applyFont="1" applyAlignment="1">
      <alignment horizontal="center" vertical="center" wrapText="1"/>
    </xf>
    <xf numFmtId="3" fontId="141" fillId="0" borderId="0" xfId="208" applyNumberFormat="1" applyFont="1"/>
    <xf numFmtId="0" fontId="141" fillId="0" borderId="0" xfId="0" applyFont="1" applyAlignment="1" applyProtection="1">
      <alignment horizontal="center" vertical="center" wrapText="1"/>
      <protection locked="0"/>
    </xf>
    <xf numFmtId="1" fontId="142" fillId="0" borderId="0" xfId="0" applyNumberFormat="1" applyFont="1" applyAlignment="1">
      <alignment horizontal="center" vertical="center"/>
    </xf>
    <xf numFmtId="0" fontId="142" fillId="0" borderId="0" xfId="0" applyFont="1" applyAlignment="1">
      <alignment horizontal="center" vertical="center"/>
    </xf>
    <xf numFmtId="0" fontId="142" fillId="0" borderId="0" xfId="0" quotePrefix="1" applyFont="1" applyAlignment="1">
      <alignment horizontal="center" vertical="center"/>
    </xf>
    <xf numFmtId="14" fontId="142" fillId="0" borderId="0" xfId="0" applyNumberFormat="1" applyFont="1" applyAlignment="1">
      <alignment horizontal="center" vertical="center"/>
    </xf>
    <xf numFmtId="0" fontId="142" fillId="0" borderId="0" xfId="0" applyFont="1" applyAlignment="1">
      <alignment horizontal="left" vertical="center" wrapText="1"/>
    </xf>
    <xf numFmtId="22" fontId="142" fillId="0" borderId="0" xfId="0" applyNumberFormat="1" applyFont="1" applyAlignment="1">
      <alignment horizontal="center" vertical="center"/>
    </xf>
    <xf numFmtId="0" fontId="148" fillId="0" borderId="0" xfId="0" applyFont="1"/>
    <xf numFmtId="0" fontId="149" fillId="0" borderId="0" xfId="0" applyFont="1"/>
    <xf numFmtId="0" fontId="142" fillId="0" borderId="0" xfId="0" applyFont="1" applyAlignment="1">
      <alignment horizontal="center" vertical="center" wrapText="1"/>
    </xf>
    <xf numFmtId="16" fontId="141" fillId="0" borderId="0" xfId="0" applyNumberFormat="1" applyFont="1" applyAlignment="1">
      <alignment horizontal="center" vertical="center" wrapText="1"/>
    </xf>
    <xf numFmtId="43" fontId="144" fillId="2" borderId="2" xfId="1" applyFont="1" applyFill="1" applyBorder="1" applyAlignment="1">
      <alignment horizontal="center" vertical="center"/>
    </xf>
    <xf numFmtId="43" fontId="141" fillId="0" borderId="0" xfId="1" applyFont="1"/>
    <xf numFmtId="43" fontId="141" fillId="0" borderId="0" xfId="1" applyFont="1" applyFill="1" applyAlignment="1">
      <alignment horizontal="center" vertical="center"/>
    </xf>
    <xf numFmtId="43" fontId="147" fillId="0" borderId="3" xfId="1" applyFont="1" applyBorder="1"/>
    <xf numFmtId="43" fontId="141" fillId="0" borderId="0" xfId="1" applyFont="1" applyFill="1" applyBorder="1" applyAlignment="1">
      <alignment horizontal="center" vertical="center"/>
    </xf>
    <xf numFmtId="43" fontId="147" fillId="0" borderId="3" xfId="1" applyFont="1" applyFill="1" applyBorder="1" applyAlignment="1">
      <alignment horizontal="center" vertical="center"/>
    </xf>
    <xf numFmtId="43" fontId="147" fillId="0" borderId="0" xfId="1" applyFont="1"/>
    <xf numFmtId="43" fontId="141" fillId="0" borderId="0" xfId="1" applyFont="1" applyFill="1"/>
    <xf numFmtId="43" fontId="142" fillId="0" borderId="0" xfId="1" applyFont="1" applyFill="1" applyAlignment="1">
      <alignment horizontal="center" vertical="center"/>
    </xf>
    <xf numFmtId="43" fontId="144" fillId="0" borderId="3" xfId="1" applyFont="1" applyFill="1" applyBorder="1" applyAlignment="1">
      <alignment horizontal="center" vertical="center"/>
    </xf>
    <xf numFmtId="43" fontId="141" fillId="0" borderId="0" xfId="1" applyFont="1" applyFill="1" applyAlignment="1" applyProtection="1">
      <alignment horizontal="center" vertical="center"/>
    </xf>
    <xf numFmtId="43" fontId="144" fillId="0" borderId="3" xfId="1" applyFont="1" applyBorder="1" applyAlignment="1" applyProtection="1">
      <alignment horizontal="center" vertical="center" wrapText="1"/>
      <protection locked="0"/>
    </xf>
    <xf numFmtId="43" fontId="141" fillId="0" borderId="0" xfId="1" applyFont="1" applyAlignment="1">
      <alignment horizontal="center" vertical="center"/>
    </xf>
    <xf numFmtId="43" fontId="147" fillId="0" borderId="3" xfId="1" applyFont="1" applyBorder="1" applyAlignment="1">
      <alignment horizontal="center" vertical="center"/>
    </xf>
    <xf numFmtId="43" fontId="145" fillId="0" borderId="3" xfId="1" applyFont="1" applyBorder="1"/>
    <xf numFmtId="43" fontId="145" fillId="0" borderId="0" xfId="1" applyFont="1"/>
    <xf numFmtId="0" fontId="141" fillId="0" borderId="0" xfId="0" applyFont="1" applyAlignment="1">
      <alignment horizontal="center" wrapText="1"/>
    </xf>
    <xf numFmtId="165" fontId="0" fillId="0" borderId="23" xfId="1" applyNumberFormat="1" applyFont="1" applyBorder="1" applyAlignment="1">
      <alignment horizontal="center"/>
    </xf>
    <xf numFmtId="43" fontId="147" fillId="0" borderId="3" xfId="1" applyFont="1" applyFill="1" applyBorder="1"/>
    <xf numFmtId="43" fontId="141" fillId="0" borderId="3" xfId="1" applyFont="1" applyBorder="1"/>
    <xf numFmtId="43" fontId="0" fillId="0" borderId="9" xfId="1" applyFont="1" applyFill="1" applyBorder="1" applyAlignment="1">
      <alignment horizontal="left"/>
    </xf>
    <xf numFmtId="165" fontId="0" fillId="0" borderId="10" xfId="1" applyNumberFormat="1" applyFont="1" applyFill="1" applyBorder="1" applyAlignment="1">
      <alignment horizontal="right"/>
    </xf>
    <xf numFmtId="43" fontId="147" fillId="0" borderId="0" xfId="1" applyFont="1" applyBorder="1"/>
    <xf numFmtId="43" fontId="150" fillId="0" borderId="10" xfId="1" applyFont="1" applyFill="1" applyBorder="1"/>
    <xf numFmtId="0" fontId="147" fillId="0" borderId="0" xfId="0" applyFont="1"/>
    <xf numFmtId="43" fontId="141" fillId="0" borderId="0" xfId="90" applyFont="1" applyFill="1"/>
    <xf numFmtId="0" fontId="28" fillId="0" borderId="0" xfId="0" applyFont="1" applyAlignment="1">
      <alignment horizontal="center" vertical="center" wrapText="1"/>
    </xf>
    <xf numFmtId="43" fontId="151" fillId="0" borderId="0" xfId="1" applyFont="1"/>
    <xf numFmtId="0" fontId="28" fillId="0" borderId="0" xfId="0" applyFont="1" applyAlignment="1">
      <alignment horizontal="center" vertical="center"/>
    </xf>
    <xf numFmtId="0" fontId="14" fillId="0" borderId="0" xfId="0" applyFont="1" applyAlignment="1" applyProtection="1">
      <alignment horizontal="center" vertical="center" wrapText="1"/>
      <protection locked="0"/>
    </xf>
    <xf numFmtId="0" fontId="132" fillId="11" borderId="9" xfId="0" applyFont="1" applyFill="1" applyBorder="1" applyAlignment="1">
      <alignment horizontal="left" wrapText="1"/>
    </xf>
    <xf numFmtId="0" fontId="132" fillId="11" borderId="0" xfId="0" applyFont="1" applyFill="1" applyAlignment="1">
      <alignment horizontal="left" wrapText="1"/>
    </xf>
    <xf numFmtId="0" fontId="130" fillId="7" borderId="9" xfId="0" applyFont="1" applyFill="1" applyBorder="1" applyAlignment="1">
      <alignment horizontal="left" wrapText="1"/>
    </xf>
    <xf numFmtId="0" fontId="130" fillId="7" borderId="0" xfId="0" applyFont="1" applyFill="1" applyAlignment="1">
      <alignment horizontal="left" wrapText="1"/>
    </xf>
    <xf numFmtId="0" fontId="130" fillId="7" borderId="11" xfId="0" applyFont="1" applyFill="1" applyBorder="1" applyAlignment="1">
      <alignment horizontal="left" wrapText="1"/>
    </xf>
    <xf numFmtId="0" fontId="130" fillId="7" borderId="12" xfId="0" applyFont="1" applyFill="1" applyBorder="1" applyAlignment="1">
      <alignment horizontal="left" wrapText="1"/>
    </xf>
    <xf numFmtId="0" fontId="136" fillId="15" borderId="16" xfId="0" applyFont="1" applyFill="1" applyBorder="1" applyAlignment="1">
      <alignment horizontal="left" vertical="center"/>
    </xf>
    <xf numFmtId="0" fontId="136" fillId="15" borderId="7" xfId="0" applyFont="1" applyFill="1" applyBorder="1" applyAlignment="1">
      <alignment horizontal="left" vertical="center"/>
    </xf>
    <xf numFmtId="0" fontId="136" fillId="15" borderId="8" xfId="0" applyFont="1" applyFill="1" applyBorder="1" applyAlignment="1">
      <alignment horizontal="left" vertical="center"/>
    </xf>
    <xf numFmtId="0" fontId="136" fillId="15" borderId="11" xfId="0" applyFont="1" applyFill="1" applyBorder="1" applyAlignment="1">
      <alignment horizontal="left" vertical="center"/>
    </xf>
    <xf numFmtId="0" fontId="136" fillId="15" borderId="12" xfId="0" applyFont="1" applyFill="1" applyBorder="1" applyAlignment="1">
      <alignment horizontal="left" vertical="center"/>
    </xf>
    <xf numFmtId="0" fontId="136" fillId="15" borderId="13" xfId="0" applyFont="1" applyFill="1" applyBorder="1" applyAlignment="1">
      <alignment horizontal="left" vertical="center"/>
    </xf>
    <xf numFmtId="0" fontId="136" fillId="15" borderId="16" xfId="0" applyFont="1" applyFill="1" applyBorder="1" applyAlignment="1">
      <alignment horizontal="center" vertical="center"/>
    </xf>
    <xf numFmtId="0" fontId="136" fillId="15" borderId="7" xfId="0" applyFont="1" applyFill="1" applyBorder="1" applyAlignment="1">
      <alignment horizontal="center" vertical="center"/>
    </xf>
    <xf numFmtId="0" fontId="136" fillId="15" borderId="8" xfId="0" applyFont="1" applyFill="1" applyBorder="1" applyAlignment="1">
      <alignment horizontal="center" vertical="center"/>
    </xf>
    <xf numFmtId="0" fontId="136" fillId="15" borderId="11" xfId="0" applyFont="1" applyFill="1" applyBorder="1" applyAlignment="1">
      <alignment horizontal="center" vertical="center"/>
    </xf>
    <xf numFmtId="0" fontId="136" fillId="15" borderId="12" xfId="0" applyFont="1" applyFill="1" applyBorder="1" applyAlignment="1">
      <alignment horizontal="center" vertical="center"/>
    </xf>
    <xf numFmtId="0" fontId="136" fillId="15" borderId="13" xfId="0" applyFont="1" applyFill="1" applyBorder="1" applyAlignment="1">
      <alignment horizontal="center" vertical="center"/>
    </xf>
    <xf numFmtId="0" fontId="129" fillId="13" borderId="16" xfId="0" applyFont="1" applyFill="1" applyBorder="1" applyAlignment="1">
      <alignment horizontal="center" vertical="center" wrapText="1"/>
    </xf>
    <xf numFmtId="0" fontId="129" fillId="13" borderId="9" xfId="0" applyFont="1" applyFill="1" applyBorder="1" applyAlignment="1">
      <alignment horizontal="center" vertical="center" wrapText="1"/>
    </xf>
    <xf numFmtId="0" fontId="136" fillId="15" borderId="16" xfId="0" applyFont="1" applyFill="1" applyBorder="1" applyAlignment="1">
      <alignment vertical="center"/>
    </xf>
    <xf numFmtId="0" fontId="136" fillId="15" borderId="7" xfId="0" applyFont="1" applyFill="1" applyBorder="1" applyAlignment="1">
      <alignment vertical="center"/>
    </xf>
    <xf numFmtId="0" fontId="136" fillId="15" borderId="8" xfId="0" applyFont="1" applyFill="1" applyBorder="1" applyAlignment="1">
      <alignment vertical="center"/>
    </xf>
    <xf numFmtId="0" fontId="136" fillId="15" borderId="11" xfId="0" applyFont="1" applyFill="1" applyBorder="1" applyAlignment="1">
      <alignment vertical="center"/>
    </xf>
    <xf numFmtId="0" fontId="136" fillId="15" borderId="12" xfId="0" applyFont="1" applyFill="1" applyBorder="1" applyAlignment="1">
      <alignment vertical="center"/>
    </xf>
    <xf numFmtId="0" fontId="136" fillId="15" borderId="13" xfId="0" applyFont="1" applyFill="1" applyBorder="1" applyAlignment="1">
      <alignment vertical="center"/>
    </xf>
    <xf numFmtId="0" fontId="135" fillId="15" borderId="17" xfId="0" applyFont="1" applyFill="1" applyBorder="1" applyAlignment="1">
      <alignment horizontal="left" vertical="center" readingOrder="1"/>
    </xf>
    <xf numFmtId="0" fontId="135" fillId="15" borderId="19" xfId="0" applyFont="1" applyFill="1" applyBorder="1" applyAlignment="1">
      <alignment horizontal="left" vertical="center" readingOrder="1"/>
    </xf>
    <xf numFmtId="0" fontId="135" fillId="15" borderId="18" xfId="0" applyFont="1" applyFill="1" applyBorder="1" applyAlignment="1">
      <alignment horizontal="left" vertical="center" readingOrder="1"/>
    </xf>
    <xf numFmtId="0" fontId="127" fillId="13" borderId="8" xfId="0" applyFont="1" applyFill="1" applyBorder="1" applyAlignment="1">
      <alignment horizontal="center" vertical="center" wrapText="1"/>
    </xf>
    <xf numFmtId="0" fontId="127" fillId="13" borderId="10" xfId="0" applyFont="1" applyFill="1" applyBorder="1" applyAlignment="1">
      <alignment horizontal="center" vertical="center" wrapText="1"/>
    </xf>
    <xf numFmtId="0" fontId="127" fillId="13" borderId="35" xfId="0" applyFont="1" applyFill="1" applyBorder="1" applyAlignment="1">
      <alignment horizontal="center" vertical="center" wrapText="1"/>
    </xf>
    <xf numFmtId="169" fontId="134" fillId="13" borderId="7" xfId="0" applyNumberFormat="1" applyFont="1" applyFill="1" applyBorder="1" applyAlignment="1">
      <alignment horizontal="left" vertical="center"/>
    </xf>
    <xf numFmtId="169" fontId="134" fillId="13" borderId="0" xfId="0" applyNumberFormat="1" applyFont="1" applyFill="1" applyAlignment="1">
      <alignment horizontal="left" vertical="center"/>
    </xf>
    <xf numFmtId="169" fontId="134" fillId="13" borderId="31" xfId="0" applyNumberFormat="1" applyFont="1" applyFill="1" applyBorder="1" applyAlignment="1">
      <alignment horizontal="left" vertical="center"/>
    </xf>
    <xf numFmtId="0" fontId="128" fillId="13" borderId="7" xfId="0" applyFont="1" applyFill="1" applyBorder="1" applyAlignment="1">
      <alignment horizontal="right" vertical="center"/>
    </xf>
    <xf numFmtId="0" fontId="128" fillId="13" borderId="0" xfId="0" applyFont="1" applyFill="1" applyAlignment="1">
      <alignment horizontal="right" vertical="center"/>
    </xf>
    <xf numFmtId="0" fontId="128" fillId="13" borderId="31" xfId="0" applyFont="1" applyFill="1" applyBorder="1" applyAlignment="1">
      <alignment horizontal="right" vertical="center"/>
    </xf>
    <xf numFmtId="165" fontId="39" fillId="0" borderId="0" xfId="1" applyNumberFormat="1" applyFont="1" applyFill="1" applyBorder="1" applyAlignment="1">
      <alignment horizontal="center"/>
    </xf>
    <xf numFmtId="0" fontId="36" fillId="0" borderId="0" xfId="0" applyFont="1" applyAlignment="1">
      <alignment horizontal="center"/>
    </xf>
    <xf numFmtId="0" fontId="38" fillId="0" borderId="0" xfId="0" applyFont="1" applyAlignment="1">
      <alignment horizontal="center"/>
    </xf>
    <xf numFmtId="0" fontId="39" fillId="3" borderId="0" xfId="0" applyFont="1" applyFill="1" applyAlignment="1">
      <alignment horizontal="center"/>
    </xf>
    <xf numFmtId="0" fontId="39" fillId="5" borderId="0" xfId="0" applyFont="1" applyFill="1" applyAlignment="1">
      <alignment horizontal="center"/>
    </xf>
    <xf numFmtId="0" fontId="16" fillId="0" borderId="0" xfId="0" applyFont="1" applyAlignment="1">
      <alignment horizontal="center"/>
    </xf>
  </cellXfs>
  <cellStyles count="211">
    <cellStyle name="Comma" xfId="1" builtinId="3"/>
    <cellStyle name="Comma 10" xfId="19" xr:uid="{00000000-0005-0000-0000-000001000000}"/>
    <cellStyle name="Comma 10 2" xfId="105" xr:uid="{00000000-0005-0000-0000-000002000000}"/>
    <cellStyle name="Comma 11" xfId="21" xr:uid="{00000000-0005-0000-0000-000003000000}"/>
    <cellStyle name="Comma 11 2" xfId="107" xr:uid="{00000000-0005-0000-0000-000004000000}"/>
    <cellStyle name="Comma 11 3" xfId="182" xr:uid="{00000000-0005-0000-0000-000005000000}"/>
    <cellStyle name="Comma 12" xfId="24" xr:uid="{00000000-0005-0000-0000-000006000000}"/>
    <cellStyle name="Comma 12 2" xfId="110" xr:uid="{00000000-0005-0000-0000-000007000000}"/>
    <cellStyle name="Comma 12 3" xfId="184" xr:uid="{00000000-0005-0000-0000-000008000000}"/>
    <cellStyle name="Comma 13" xfId="26" xr:uid="{00000000-0005-0000-0000-000009000000}"/>
    <cellStyle name="Comma 13 2" xfId="112" xr:uid="{00000000-0005-0000-0000-00000A000000}"/>
    <cellStyle name="Comma 13 3" xfId="186" xr:uid="{00000000-0005-0000-0000-00000B000000}"/>
    <cellStyle name="Comma 14" xfId="29" xr:uid="{00000000-0005-0000-0000-00000C000000}"/>
    <cellStyle name="Comma 14 2" xfId="115" xr:uid="{00000000-0005-0000-0000-00000D000000}"/>
    <cellStyle name="Comma 14 3" xfId="188" xr:uid="{00000000-0005-0000-0000-00000E000000}"/>
    <cellStyle name="Comma 15" xfId="32" xr:uid="{00000000-0005-0000-0000-00000F000000}"/>
    <cellStyle name="Comma 15 2" xfId="117" xr:uid="{00000000-0005-0000-0000-000010000000}"/>
    <cellStyle name="Comma 15 3" xfId="190" xr:uid="{00000000-0005-0000-0000-000011000000}"/>
    <cellStyle name="Comma 16" xfId="35" xr:uid="{00000000-0005-0000-0000-000012000000}"/>
    <cellStyle name="Comma 16 2" xfId="120" xr:uid="{00000000-0005-0000-0000-000013000000}"/>
    <cellStyle name="Comma 16 3" xfId="192" xr:uid="{00000000-0005-0000-0000-000014000000}"/>
    <cellStyle name="Comma 17" xfId="38" xr:uid="{00000000-0005-0000-0000-000015000000}"/>
    <cellStyle name="Comma 17 2" xfId="123" xr:uid="{00000000-0005-0000-0000-000016000000}"/>
    <cellStyle name="Comma 17 3" xfId="194" xr:uid="{00000000-0005-0000-0000-000017000000}"/>
    <cellStyle name="Comma 18" xfId="41" xr:uid="{00000000-0005-0000-0000-000018000000}"/>
    <cellStyle name="Comma 18 2" xfId="126" xr:uid="{00000000-0005-0000-0000-000019000000}"/>
    <cellStyle name="Comma 18 3" xfId="199" xr:uid="{00000000-0005-0000-0000-00001A000000}"/>
    <cellStyle name="Comma 19" xfId="43" xr:uid="{00000000-0005-0000-0000-00001B000000}"/>
    <cellStyle name="Comma 19 2" xfId="128" xr:uid="{00000000-0005-0000-0000-00001C000000}"/>
    <cellStyle name="Comma 19 2 2" xfId="201" xr:uid="{00000000-0005-0000-0000-00001D000000}"/>
    <cellStyle name="Comma 19 3" xfId="200" xr:uid="{00000000-0005-0000-0000-00001E000000}"/>
    <cellStyle name="Comma 19 4" xfId="196" xr:uid="{00000000-0005-0000-0000-00001F000000}"/>
    <cellStyle name="Comma 2" xfId="2" xr:uid="{00000000-0005-0000-0000-000020000000}"/>
    <cellStyle name="Comma 2 2" xfId="30" xr:uid="{00000000-0005-0000-0000-000021000000}"/>
    <cellStyle name="Comma 20" xfId="46" xr:uid="{00000000-0005-0000-0000-000022000000}"/>
    <cellStyle name="Comma 20 2" xfId="131" xr:uid="{00000000-0005-0000-0000-000023000000}"/>
    <cellStyle name="Comma 21" xfId="48" xr:uid="{00000000-0005-0000-0000-000024000000}"/>
    <cellStyle name="Comma 21 2" xfId="133" xr:uid="{00000000-0005-0000-0000-000025000000}"/>
    <cellStyle name="Comma 22" xfId="50" xr:uid="{00000000-0005-0000-0000-000026000000}"/>
    <cellStyle name="Comma 22 2" xfId="135" xr:uid="{00000000-0005-0000-0000-000027000000}"/>
    <cellStyle name="Comma 23" xfId="52" xr:uid="{00000000-0005-0000-0000-000028000000}"/>
    <cellStyle name="Comma 23 2" xfId="137" xr:uid="{00000000-0005-0000-0000-000029000000}"/>
    <cellStyle name="Comma 23 3" xfId="198" xr:uid="{00000000-0005-0000-0000-00002A000000}"/>
    <cellStyle name="Comma 24" xfId="54" xr:uid="{00000000-0005-0000-0000-00002B000000}"/>
    <cellStyle name="Comma 24 2" xfId="139" xr:uid="{00000000-0005-0000-0000-00002C000000}"/>
    <cellStyle name="Comma 25" xfId="56" xr:uid="{00000000-0005-0000-0000-00002D000000}"/>
    <cellStyle name="Comma 25 2" xfId="141" xr:uid="{00000000-0005-0000-0000-00002E000000}"/>
    <cellStyle name="Comma 26" xfId="58" xr:uid="{00000000-0005-0000-0000-00002F000000}"/>
    <cellStyle name="Comma 26 2" xfId="143" xr:uid="{00000000-0005-0000-0000-000030000000}"/>
    <cellStyle name="Comma 27" xfId="60" xr:uid="{00000000-0005-0000-0000-000031000000}"/>
    <cellStyle name="Comma 27 2" xfId="145" xr:uid="{00000000-0005-0000-0000-000032000000}"/>
    <cellStyle name="Comma 28" xfId="62" xr:uid="{00000000-0005-0000-0000-000033000000}"/>
    <cellStyle name="Comma 28 2" xfId="147" xr:uid="{00000000-0005-0000-0000-000034000000}"/>
    <cellStyle name="Comma 29" xfId="64" xr:uid="{00000000-0005-0000-0000-000035000000}"/>
    <cellStyle name="Comma 29 2" xfId="149" xr:uid="{00000000-0005-0000-0000-000036000000}"/>
    <cellStyle name="Comma 3" xfId="3" xr:uid="{00000000-0005-0000-0000-000037000000}"/>
    <cellStyle name="Comma 3 3" xfId="207" xr:uid="{397D4379-D312-4298-954F-264C27BBDEF2}"/>
    <cellStyle name="Comma 30" xfId="66" xr:uid="{00000000-0005-0000-0000-000038000000}"/>
    <cellStyle name="Comma 30 2" xfId="151" xr:uid="{00000000-0005-0000-0000-000039000000}"/>
    <cellStyle name="Comma 31" xfId="68" xr:uid="{00000000-0005-0000-0000-00003A000000}"/>
    <cellStyle name="Comma 31 2" xfId="153" xr:uid="{00000000-0005-0000-0000-00003B000000}"/>
    <cellStyle name="Comma 32" xfId="70" xr:uid="{00000000-0005-0000-0000-00003C000000}"/>
    <cellStyle name="Comma 32 2" xfId="155" xr:uid="{00000000-0005-0000-0000-00003D000000}"/>
    <cellStyle name="Comma 33" xfId="72" xr:uid="{00000000-0005-0000-0000-00003E000000}"/>
    <cellStyle name="Comma 33 2" xfId="157" xr:uid="{00000000-0005-0000-0000-00003F000000}"/>
    <cellStyle name="Comma 33 3" xfId="178" xr:uid="{00000000-0005-0000-0000-000040000000}"/>
    <cellStyle name="Comma 34" xfId="74" xr:uid="{00000000-0005-0000-0000-000041000000}"/>
    <cellStyle name="Comma 34 2" xfId="159" xr:uid="{00000000-0005-0000-0000-000042000000}"/>
    <cellStyle name="Comma 35" xfId="76" xr:uid="{00000000-0005-0000-0000-000043000000}"/>
    <cellStyle name="Comma 35 2" xfId="161" xr:uid="{00000000-0005-0000-0000-000044000000}"/>
    <cellStyle name="Comma 36" xfId="78" xr:uid="{00000000-0005-0000-0000-000045000000}"/>
    <cellStyle name="Comma 36 2" xfId="163" xr:uid="{00000000-0005-0000-0000-000046000000}"/>
    <cellStyle name="Comma 37" xfId="80" xr:uid="{00000000-0005-0000-0000-000047000000}"/>
    <cellStyle name="Comma 37 2" xfId="165" xr:uid="{00000000-0005-0000-0000-000048000000}"/>
    <cellStyle name="Comma 37 3" xfId="202" xr:uid="{00000000-0005-0000-0000-000049000000}"/>
    <cellStyle name="Comma 38" xfId="82" xr:uid="{00000000-0005-0000-0000-00004A000000}"/>
    <cellStyle name="Comma 38 2" xfId="167" xr:uid="{00000000-0005-0000-0000-00004B000000}"/>
    <cellStyle name="Comma 39" xfId="84" xr:uid="{00000000-0005-0000-0000-00004C000000}"/>
    <cellStyle name="Comma 39 2" xfId="169" xr:uid="{00000000-0005-0000-0000-00004D000000}"/>
    <cellStyle name="Comma 4" xfId="4" xr:uid="{00000000-0005-0000-0000-00004E000000}"/>
    <cellStyle name="Comma 4 2" xfId="91" xr:uid="{00000000-0005-0000-0000-00004F000000}"/>
    <cellStyle name="Comma 40" xfId="86" xr:uid="{00000000-0005-0000-0000-000050000000}"/>
    <cellStyle name="Comma 40 2" xfId="171" xr:uid="{00000000-0005-0000-0000-000051000000}"/>
    <cellStyle name="Comma 41" xfId="88" xr:uid="{00000000-0005-0000-0000-000052000000}"/>
    <cellStyle name="Comma 41 2" xfId="173" xr:uid="{00000000-0005-0000-0000-000053000000}"/>
    <cellStyle name="Comma 42" xfId="90" xr:uid="{00000000-0005-0000-0000-000054000000}"/>
    <cellStyle name="Comma 43" xfId="176" xr:uid="{00000000-0005-0000-0000-000055000000}"/>
    <cellStyle name="Comma 44" xfId="210" xr:uid="{E920B2D6-FC6B-4B43-9282-BF95E05A9DD6}"/>
    <cellStyle name="Comma 5" xfId="5" xr:uid="{00000000-0005-0000-0000-000056000000}"/>
    <cellStyle name="Comma 5 2" xfId="92" xr:uid="{00000000-0005-0000-0000-000057000000}"/>
    <cellStyle name="Comma 5 3" xfId="179" xr:uid="{00000000-0005-0000-0000-000058000000}"/>
    <cellStyle name="Comma 6" xfId="6" xr:uid="{00000000-0005-0000-0000-000059000000}"/>
    <cellStyle name="Comma 6 2" xfId="93" xr:uid="{00000000-0005-0000-0000-00005A000000}"/>
    <cellStyle name="Comma 7" xfId="7" xr:uid="{00000000-0005-0000-0000-00005B000000}"/>
    <cellStyle name="Comma 7 2" xfId="94" xr:uid="{00000000-0005-0000-0000-00005C000000}"/>
    <cellStyle name="Comma 8" xfId="8" xr:uid="{00000000-0005-0000-0000-00005D000000}"/>
    <cellStyle name="Comma 8 2" xfId="95" xr:uid="{00000000-0005-0000-0000-00005E000000}"/>
    <cellStyle name="Comma 9" xfId="17" xr:uid="{00000000-0005-0000-0000-00005F000000}"/>
    <cellStyle name="Comma 9 2" xfId="103" xr:uid="{00000000-0005-0000-0000-000060000000}"/>
    <cellStyle name="Currency" xfId="208" builtinId="4"/>
    <cellStyle name="Currency 2" xfId="175" xr:uid="{00000000-0005-0000-0000-000061000000}"/>
    <cellStyle name="Hyperlink 2" xfId="203" xr:uid="{00000000-0005-0000-0000-000062000000}"/>
    <cellStyle name="Normal" xfId="0" builtinId="0"/>
    <cellStyle name="Normal 10" xfId="20" xr:uid="{00000000-0005-0000-0000-000064000000}"/>
    <cellStyle name="Normal 10 2" xfId="106" xr:uid="{00000000-0005-0000-0000-000065000000}"/>
    <cellStyle name="Normal 10 3" xfId="181" xr:uid="{00000000-0005-0000-0000-000066000000}"/>
    <cellStyle name="Normal 11" xfId="23" xr:uid="{00000000-0005-0000-0000-000067000000}"/>
    <cellStyle name="Normal 11 2" xfId="109" xr:uid="{00000000-0005-0000-0000-000068000000}"/>
    <cellStyle name="Normal 11 3" xfId="183" xr:uid="{00000000-0005-0000-0000-000069000000}"/>
    <cellStyle name="Normal 12" xfId="25" xr:uid="{00000000-0005-0000-0000-00006A000000}"/>
    <cellStyle name="Normal 12 2" xfId="111" xr:uid="{00000000-0005-0000-0000-00006B000000}"/>
    <cellStyle name="Normal 12 3" xfId="185" xr:uid="{00000000-0005-0000-0000-00006C000000}"/>
    <cellStyle name="Normal 13" xfId="28" xr:uid="{00000000-0005-0000-0000-00006D000000}"/>
    <cellStyle name="Normal 13 2" xfId="114" xr:uid="{00000000-0005-0000-0000-00006E000000}"/>
    <cellStyle name="Normal 13 3" xfId="187" xr:uid="{00000000-0005-0000-0000-00006F000000}"/>
    <cellStyle name="Normal 14" xfId="31" xr:uid="{00000000-0005-0000-0000-000070000000}"/>
    <cellStyle name="Normal 14 2" xfId="116" xr:uid="{00000000-0005-0000-0000-000071000000}"/>
    <cellStyle name="Normal 14 3" xfId="189" xr:uid="{00000000-0005-0000-0000-000072000000}"/>
    <cellStyle name="Normal 15" xfId="34" xr:uid="{00000000-0005-0000-0000-000073000000}"/>
    <cellStyle name="Normal 15 2" xfId="119" xr:uid="{00000000-0005-0000-0000-000074000000}"/>
    <cellStyle name="Normal 15 3" xfId="191" xr:uid="{00000000-0005-0000-0000-000075000000}"/>
    <cellStyle name="Normal 16" xfId="37" xr:uid="{00000000-0005-0000-0000-000076000000}"/>
    <cellStyle name="Normal 16 2" xfId="122" xr:uid="{00000000-0005-0000-0000-000077000000}"/>
    <cellStyle name="Normal 16 3" xfId="193" xr:uid="{00000000-0005-0000-0000-000078000000}"/>
    <cellStyle name="Normal 17" xfId="40" xr:uid="{00000000-0005-0000-0000-000079000000}"/>
    <cellStyle name="Normal 17 2" xfId="125" xr:uid="{00000000-0005-0000-0000-00007A000000}"/>
    <cellStyle name="Normal 18" xfId="42" xr:uid="{00000000-0005-0000-0000-00007B000000}"/>
    <cellStyle name="Normal 18 2" xfId="127" xr:uid="{00000000-0005-0000-0000-00007C000000}"/>
    <cellStyle name="Normal 18 2 2" xfId="205" xr:uid="{00000000-0005-0000-0000-00007D000000}"/>
    <cellStyle name="Normal 18 3" xfId="204" xr:uid="{00000000-0005-0000-0000-00007E000000}"/>
    <cellStyle name="Normal 18 4" xfId="195" xr:uid="{00000000-0005-0000-0000-00007F000000}"/>
    <cellStyle name="Normal 19" xfId="45" xr:uid="{00000000-0005-0000-0000-000080000000}"/>
    <cellStyle name="Normal 19 2" xfId="130" xr:uid="{00000000-0005-0000-0000-000081000000}"/>
    <cellStyle name="Normal 2" xfId="9" xr:uid="{00000000-0005-0000-0000-000082000000}"/>
    <cellStyle name="Normal 2 2" xfId="10" xr:uid="{00000000-0005-0000-0000-000083000000}"/>
    <cellStyle name="Normal 2 2 2" xfId="96" xr:uid="{00000000-0005-0000-0000-000084000000}"/>
    <cellStyle name="Normal 2 3" xfId="22" xr:uid="{00000000-0005-0000-0000-000085000000}"/>
    <cellStyle name="Normal 2 3 2" xfId="108" xr:uid="{00000000-0005-0000-0000-000086000000}"/>
    <cellStyle name="Normal 2 4" xfId="27" xr:uid="{00000000-0005-0000-0000-000087000000}"/>
    <cellStyle name="Normal 2 4 2" xfId="113" xr:uid="{00000000-0005-0000-0000-000088000000}"/>
    <cellStyle name="Normal 2 5" xfId="33" xr:uid="{00000000-0005-0000-0000-000089000000}"/>
    <cellStyle name="Normal 2 5 2" xfId="118" xr:uid="{00000000-0005-0000-0000-00008A000000}"/>
    <cellStyle name="Normal 2 6" xfId="36" xr:uid="{00000000-0005-0000-0000-00008B000000}"/>
    <cellStyle name="Normal 2 6 2" xfId="121" xr:uid="{00000000-0005-0000-0000-00008C000000}"/>
    <cellStyle name="Normal 2 7" xfId="39" xr:uid="{00000000-0005-0000-0000-00008D000000}"/>
    <cellStyle name="Normal 2 7 2" xfId="124" xr:uid="{00000000-0005-0000-0000-00008E000000}"/>
    <cellStyle name="Normal 2 8" xfId="44" xr:uid="{00000000-0005-0000-0000-00008F000000}"/>
    <cellStyle name="Normal 2 8 2" xfId="129" xr:uid="{00000000-0005-0000-0000-000090000000}"/>
    <cellStyle name="Normal 20" xfId="47" xr:uid="{00000000-0005-0000-0000-000091000000}"/>
    <cellStyle name="Normal 20 2" xfId="132" xr:uid="{00000000-0005-0000-0000-000092000000}"/>
    <cellStyle name="Normal 21" xfId="49" xr:uid="{00000000-0005-0000-0000-000093000000}"/>
    <cellStyle name="Normal 21 2" xfId="134" xr:uid="{00000000-0005-0000-0000-000094000000}"/>
    <cellStyle name="Normal 22" xfId="51" xr:uid="{00000000-0005-0000-0000-000095000000}"/>
    <cellStyle name="Normal 22 2" xfId="136" xr:uid="{00000000-0005-0000-0000-000096000000}"/>
    <cellStyle name="Normal 22 3" xfId="197" xr:uid="{00000000-0005-0000-0000-000097000000}"/>
    <cellStyle name="Normal 23" xfId="53" xr:uid="{00000000-0005-0000-0000-000098000000}"/>
    <cellStyle name="Normal 23 2" xfId="138" xr:uid="{00000000-0005-0000-0000-000099000000}"/>
    <cellStyle name="Normal 24" xfId="55" xr:uid="{00000000-0005-0000-0000-00009A000000}"/>
    <cellStyle name="Normal 24 2" xfId="140" xr:uid="{00000000-0005-0000-0000-00009B000000}"/>
    <cellStyle name="Normal 25" xfId="57" xr:uid="{00000000-0005-0000-0000-00009C000000}"/>
    <cellStyle name="Normal 25 2" xfId="142" xr:uid="{00000000-0005-0000-0000-00009D000000}"/>
    <cellStyle name="Normal 26" xfId="59" xr:uid="{00000000-0005-0000-0000-00009E000000}"/>
    <cellStyle name="Normal 26 2" xfId="144" xr:uid="{00000000-0005-0000-0000-00009F000000}"/>
    <cellStyle name="Normal 27" xfId="61" xr:uid="{00000000-0005-0000-0000-0000A0000000}"/>
    <cellStyle name="Normal 27 2" xfId="146" xr:uid="{00000000-0005-0000-0000-0000A1000000}"/>
    <cellStyle name="Normal 28" xfId="63" xr:uid="{00000000-0005-0000-0000-0000A2000000}"/>
    <cellStyle name="Normal 28 2" xfId="148" xr:uid="{00000000-0005-0000-0000-0000A3000000}"/>
    <cellStyle name="Normal 29" xfId="65" xr:uid="{00000000-0005-0000-0000-0000A4000000}"/>
    <cellStyle name="Normal 29 2" xfId="150" xr:uid="{00000000-0005-0000-0000-0000A5000000}"/>
    <cellStyle name="Normal 3" xfId="11" xr:uid="{00000000-0005-0000-0000-0000A6000000}"/>
    <cellStyle name="Normal 3 2" xfId="97" xr:uid="{00000000-0005-0000-0000-0000A7000000}"/>
    <cellStyle name="Normal 30" xfId="67" xr:uid="{00000000-0005-0000-0000-0000A8000000}"/>
    <cellStyle name="Normal 30 2" xfId="152" xr:uid="{00000000-0005-0000-0000-0000A9000000}"/>
    <cellStyle name="Normal 31" xfId="69" xr:uid="{00000000-0005-0000-0000-0000AA000000}"/>
    <cellStyle name="Normal 31 2" xfId="154" xr:uid="{00000000-0005-0000-0000-0000AB000000}"/>
    <cellStyle name="Normal 32" xfId="71" xr:uid="{00000000-0005-0000-0000-0000AC000000}"/>
    <cellStyle name="Normal 32 2" xfId="156" xr:uid="{00000000-0005-0000-0000-0000AD000000}"/>
    <cellStyle name="Normal 32 3" xfId="177" xr:uid="{00000000-0005-0000-0000-0000AE000000}"/>
    <cellStyle name="Normal 33" xfId="73" xr:uid="{00000000-0005-0000-0000-0000AF000000}"/>
    <cellStyle name="Normal 33 2" xfId="158" xr:uid="{00000000-0005-0000-0000-0000B0000000}"/>
    <cellStyle name="Normal 34" xfId="75" xr:uid="{00000000-0005-0000-0000-0000B1000000}"/>
    <cellStyle name="Normal 34 2" xfId="160" xr:uid="{00000000-0005-0000-0000-0000B2000000}"/>
    <cellStyle name="Normal 35" xfId="77" xr:uid="{00000000-0005-0000-0000-0000B3000000}"/>
    <cellStyle name="Normal 35 2" xfId="162" xr:uid="{00000000-0005-0000-0000-0000B4000000}"/>
    <cellStyle name="Normal 36" xfId="79" xr:uid="{00000000-0005-0000-0000-0000B5000000}"/>
    <cellStyle name="Normal 36 2" xfId="164" xr:uid="{00000000-0005-0000-0000-0000B6000000}"/>
    <cellStyle name="Normal 36 3" xfId="206" xr:uid="{00000000-0005-0000-0000-0000B7000000}"/>
    <cellStyle name="Normal 37" xfId="81" xr:uid="{00000000-0005-0000-0000-0000B8000000}"/>
    <cellStyle name="Normal 37 2" xfId="166" xr:uid="{00000000-0005-0000-0000-0000B9000000}"/>
    <cellStyle name="Normal 38" xfId="83" xr:uid="{00000000-0005-0000-0000-0000BA000000}"/>
    <cellStyle name="Normal 38 2" xfId="168" xr:uid="{00000000-0005-0000-0000-0000BB000000}"/>
    <cellStyle name="Normal 39" xfId="85" xr:uid="{00000000-0005-0000-0000-0000BC000000}"/>
    <cellStyle name="Normal 39 2" xfId="170" xr:uid="{00000000-0005-0000-0000-0000BD000000}"/>
    <cellStyle name="Normal 4" xfId="12" xr:uid="{00000000-0005-0000-0000-0000BE000000}"/>
    <cellStyle name="Normal 4 2" xfId="98" xr:uid="{00000000-0005-0000-0000-0000BF000000}"/>
    <cellStyle name="Normal 40" xfId="87" xr:uid="{00000000-0005-0000-0000-0000C0000000}"/>
    <cellStyle name="Normal 40 2" xfId="172" xr:uid="{00000000-0005-0000-0000-0000C1000000}"/>
    <cellStyle name="Normal 41" xfId="89" xr:uid="{00000000-0005-0000-0000-0000C2000000}"/>
    <cellStyle name="Normal 42" xfId="174" xr:uid="{00000000-0005-0000-0000-0000C3000000}"/>
    <cellStyle name="Normal 43" xfId="209" xr:uid="{49416FEE-A19E-4C2A-B123-2DF179D53EA3}"/>
    <cellStyle name="Normal 5" xfId="13" xr:uid="{00000000-0005-0000-0000-0000C4000000}"/>
    <cellStyle name="Normal 5 2" xfId="99" xr:uid="{00000000-0005-0000-0000-0000C5000000}"/>
    <cellStyle name="Normal 5 3" xfId="180" xr:uid="{00000000-0005-0000-0000-0000C6000000}"/>
    <cellStyle name="Normal 6" xfId="14" xr:uid="{00000000-0005-0000-0000-0000C7000000}"/>
    <cellStyle name="Normal 6 2" xfId="100" xr:uid="{00000000-0005-0000-0000-0000C8000000}"/>
    <cellStyle name="Normal 7" xfId="15" xr:uid="{00000000-0005-0000-0000-0000C9000000}"/>
    <cellStyle name="Normal 7 2" xfId="101" xr:uid="{00000000-0005-0000-0000-0000CA000000}"/>
    <cellStyle name="Normal 8" xfId="16" xr:uid="{00000000-0005-0000-0000-0000CB000000}"/>
    <cellStyle name="Normal 8 2" xfId="102" xr:uid="{00000000-0005-0000-0000-0000CC000000}"/>
    <cellStyle name="Normal 9" xfId="18" xr:uid="{00000000-0005-0000-0000-0000CD000000}"/>
    <cellStyle name="Normal 9 2" xfId="104" xr:uid="{00000000-0005-0000-0000-0000CE000000}"/>
  </cellStyles>
  <dxfs count="31">
    <dxf>
      <numFmt numFmtId="165" formatCode="_(* #,##0_);_(* \(#,##0\);_(* &quot;-&quot;??_);_(@_)"/>
    </dxf>
    <dxf>
      <numFmt numFmtId="165" formatCode="_(* #,##0_);_(* \(#,##0\);_(* &quot;-&quot;??_);_(@_)"/>
    </dxf>
    <dxf>
      <numFmt numFmtId="35" formatCode="_(* #,##0.00_);_(* \(#,##0.00\);_(* &quot;-&quot;??_);_(@_)"/>
    </dxf>
    <dxf>
      <numFmt numFmtId="35" formatCode="_(* #,##0.00_);_(* \(#,##0.00\);_(* &quot;-&quot;??_);_(@_)"/>
    </dxf>
    <dxf>
      <numFmt numFmtId="35" formatCode="_(* #,##0.00_);_(* \(#,##0.00\);_(* &quot;-&quot;??_);_(@_)"/>
    </dxf>
    <dxf>
      <numFmt numFmtId="35" formatCode="_(* #,##0.00_);_(* \(#,##0.00\);_(* &quot;-&quot;??_);_(@_)"/>
    </dxf>
    <dxf>
      <numFmt numFmtId="165" formatCode="_(* #,##0_);_(* \(#,##0\);_(* &quot;-&quot;??_);_(@_)"/>
    </dxf>
    <dxf>
      <numFmt numFmtId="167" formatCode="_(&quot;$&quot;* #,##0_);_(&quot;$&quot;* \(#,##0\);_(&quot;$&quot;* &quot;-&quot;??_);_(@_)"/>
    </dxf>
    <dxf>
      <font>
        <sz val="8"/>
      </font>
    </dxf>
    <dxf>
      <font>
        <sz val="8"/>
      </font>
    </dxf>
    <dxf>
      <numFmt numFmtId="167" formatCode="_(&quot;$&quot;* #,##0_);_(&quot;$&quot;* \(#,##0\);_(&quot;$&quot;* &quot;-&quot;??_);_(@_)"/>
    </dxf>
    <dxf>
      <alignment vertical="center"/>
    </dxf>
    <dxf>
      <font>
        <sz val="10"/>
      </font>
    </dxf>
    <dxf>
      <numFmt numFmtId="34" formatCode="_(&quot;$&quot;* #,##0.00_);_(&quot;$&quot;* \(#,##0.00\);_(&quot;$&quot;* &quot;-&quot;??_);_(@_)"/>
    </dxf>
    <dxf>
      <font>
        <sz val="8"/>
      </font>
      <numFmt numFmtId="5" formatCode="#,##0_);\(#,##0\)"/>
    </dxf>
    <dxf>
      <numFmt numFmtId="3" formatCode="#,##0"/>
    </dxf>
    <dxf>
      <numFmt numFmtId="5" formatCode="#,##0_);\(#,##0\)"/>
    </dxf>
    <dxf>
      <numFmt numFmtId="5" formatCode="#,##0_);\(#,##0\)"/>
    </dxf>
    <dxf>
      <font>
        <sz val="8"/>
      </font>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numFmt numFmtId="165" formatCode="_(* #,##0_);_(* \(#,##0\);_(* &quot;-&quot;??_);_(@_)"/>
    </dxf>
    <dxf>
      <numFmt numFmtId="165" formatCode="_(* #,##0_);_(* \(#,##0\);_(* &quot;-&quot;??_);_(@_)"/>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border>
        <left style="medium">
          <color indexed="64"/>
        </left>
        <right style="medium">
          <color indexed="64"/>
        </right>
        <top style="medium">
          <color indexed="64"/>
        </top>
        <bottom style="medium">
          <color indexed="64"/>
        </bottom>
      </border>
    </dxf>
    <dxf>
      <numFmt numFmtId="167" formatCode="_(&quot;$&quot;* #,##0_);_(&quot;$&quot;* \(#,##0\);_(&quot;$&quot;* &quot;-&quot;??_);_(@_)"/>
    </dxf>
    <dxf>
      <numFmt numFmtId="167" formatCode="_(&quot;$&quot;* #,##0_);_(&quot;$&quot;* \(#,##0\);_(&quot;$&quot;* &quot;-&quot;??_);_(@_)"/>
    </dxf>
  </dxfs>
  <tableStyles count="0" defaultTableStyle="TableStyleMedium9" defaultPivotStyle="PivotStyleLight16"/>
  <colors>
    <mruColors>
      <color rgb="FFFFFF99"/>
      <color rgb="FFFFCC66"/>
      <color rgb="FFFFC1E0"/>
      <color rgb="FFFFFFFF"/>
      <color rgb="FFFFBDFF"/>
      <color rgb="FFCC9900"/>
      <color rgb="FFFFCC00"/>
      <color rgb="FFCCCC00"/>
      <color rgb="FFECECEC"/>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pivotCacheDefinition" Target="pivotCache/pivotCacheDefinition2.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pivotCacheDefinition" Target="pivotCache/pivotCacheDefinition5.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pivotCacheDefinition" Target="pivotCache/pivotCacheDefinition4.xml"/><Relationship Id="rId10" Type="http://schemas.openxmlformats.org/officeDocument/2006/relationships/externalLink" Target="externalLinks/externalLink3.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pivotCacheDefinition" Target="pivotCache/pivotCacheDefinition3.xml"/></Relationships>
</file>

<file path=xl/charts/_rels/chart1.xml.rels><?xml version="1.0" encoding="UTF-8" standalone="yes"?>
<Relationships xmlns="http://schemas.openxmlformats.org/package/2006/relationships"><Relationship Id="rId3" Type="http://schemas.openxmlformats.org/officeDocument/2006/relationships/image" Target="../media/image1.jpg"/><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image" Target="../media/image2.jpg"/><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image" Target="../media/image3.jpg"/><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[General Fund Daily Cash Balance.xlsx]Data!PivotTable9</c:name>
    <c:fmtId val="3"/>
  </c:pivotSource>
  <c:chart>
    <c:title>
      <c:tx>
        <c:rich>
          <a:bodyPr rot="0" spcFirstLastPara="1" vertOverflow="ellipsis" vert="horz" wrap="square" anchor="ctr" anchorCtr="1"/>
          <a:lstStyle/>
          <a:p>
            <a:pPr>
              <a:defRPr sz="4400" b="1" i="0" u="none" strike="noStrike" kern="1200" baseline="0">
                <a:solidFill>
                  <a:sysClr val="windowText" lastClr="000000"/>
                </a:solidFill>
                <a:latin typeface="+mn-lt"/>
                <a:ea typeface="+mn-ea"/>
                <a:cs typeface="+mn-cs"/>
              </a:defRPr>
            </a:pPr>
            <a:r>
              <a:rPr lang="en-US" sz="4400">
                <a:solidFill>
                  <a:sysClr val="windowText" lastClr="000000"/>
                </a:solidFill>
              </a:rPr>
              <a:t>General Fund Balance for Last 30 Days</a:t>
            </a:r>
          </a:p>
        </c:rich>
      </c:tx>
      <c:layout>
        <c:manualLayout>
          <c:xMode val="edge"/>
          <c:yMode val="edge"/>
          <c:x val="0.35668299965357741"/>
          <c:y val="2.1234604957365004E-2"/>
        </c:manualLayout>
      </c:layout>
      <c:overlay val="0"/>
      <c:spPr>
        <a:noFill/>
        <a:ln>
          <a:noFill/>
        </a:ln>
        <a:effectLst/>
      </c:spPr>
      <c:txPr>
        <a:bodyPr rot="0" spcFirstLastPara="1" vertOverflow="ellipsis" vert="horz" wrap="square" anchor="ctr" anchorCtr="1"/>
        <a:lstStyle/>
        <a:p>
          <a:pPr>
            <a:defRPr sz="4400" b="1" i="0" u="none" strike="noStrike" kern="1200" baseline="0">
              <a:solidFill>
                <a:sysClr val="windowText" lastClr="000000"/>
              </a:solidFill>
              <a:latin typeface="+mn-lt"/>
              <a:ea typeface="+mn-ea"/>
              <a:cs typeface="+mn-cs"/>
            </a:defRPr>
          </a:pPr>
          <a:endParaRPr lang="en-US"/>
        </a:p>
      </c:txPr>
    </c:title>
    <c:autoTitleDeleted val="0"/>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tx2">
              <a:lumMod val="75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5.1630050935322094E-2"/>
          <c:y val="0.11164303692243749"/>
          <c:w val="0.94234040114958828"/>
          <c:h val="0.6866655506038285"/>
        </c:manualLayout>
      </c:layout>
      <c:barChart>
        <c:barDir val="col"/>
        <c:grouping val="clustered"/>
        <c:varyColors val="0"/>
        <c:ser>
          <c:idx val="0"/>
          <c:order val="0"/>
          <c:tx>
            <c:strRef>
              <c:f>Data!$I$3</c:f>
              <c:strCache>
                <c:ptCount val="1"/>
                <c:pt idx="0">
                  <c:v>Total</c:v>
                </c:pt>
              </c:strCache>
            </c:strRef>
          </c:tx>
          <c:spPr>
            <a:solidFill>
              <a:schemeClr val="tx2">
                <a:lumMod val="75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f>Data!$H$4:$H$33</c:f>
              <c:strCache>
                <c:ptCount val="30"/>
                <c:pt idx="0">
                  <c:v>6/28/26</c:v>
                </c:pt>
                <c:pt idx="1">
                  <c:v>6/29/26</c:v>
                </c:pt>
                <c:pt idx="2">
                  <c:v>6/30/26</c:v>
                </c:pt>
                <c:pt idx="3">
                  <c:v>7/1/26</c:v>
                </c:pt>
                <c:pt idx="4">
                  <c:v>7/2/26</c:v>
                </c:pt>
                <c:pt idx="5">
                  <c:v>7/3/26</c:v>
                </c:pt>
                <c:pt idx="6">
                  <c:v>7/4/26</c:v>
                </c:pt>
                <c:pt idx="7">
                  <c:v>7/5/26</c:v>
                </c:pt>
                <c:pt idx="8">
                  <c:v>7/6/26</c:v>
                </c:pt>
                <c:pt idx="9">
                  <c:v>7/7/26</c:v>
                </c:pt>
                <c:pt idx="10">
                  <c:v>7/8/26</c:v>
                </c:pt>
                <c:pt idx="11">
                  <c:v>7/9/26</c:v>
                </c:pt>
                <c:pt idx="12">
                  <c:v>7/10/26</c:v>
                </c:pt>
                <c:pt idx="13">
                  <c:v>7/11/26</c:v>
                </c:pt>
                <c:pt idx="14">
                  <c:v>7/12/26</c:v>
                </c:pt>
                <c:pt idx="15">
                  <c:v>7/13/26</c:v>
                </c:pt>
                <c:pt idx="16">
                  <c:v>7/14/26</c:v>
                </c:pt>
                <c:pt idx="17">
                  <c:v>7/15/26</c:v>
                </c:pt>
                <c:pt idx="18">
                  <c:v>7/16/26</c:v>
                </c:pt>
                <c:pt idx="19">
                  <c:v>7/17/26</c:v>
                </c:pt>
                <c:pt idx="20">
                  <c:v>7/18/26</c:v>
                </c:pt>
                <c:pt idx="21">
                  <c:v>7/19/26</c:v>
                </c:pt>
                <c:pt idx="22">
                  <c:v>7/20/26</c:v>
                </c:pt>
                <c:pt idx="23">
                  <c:v>7/21/26</c:v>
                </c:pt>
                <c:pt idx="24">
                  <c:v>7/22/26</c:v>
                </c:pt>
                <c:pt idx="25">
                  <c:v>7/23/26</c:v>
                </c:pt>
                <c:pt idx="26">
                  <c:v>7/24/26</c:v>
                </c:pt>
                <c:pt idx="27">
                  <c:v>7/25/26</c:v>
                </c:pt>
                <c:pt idx="28">
                  <c:v>7/26/26</c:v>
                </c:pt>
                <c:pt idx="29">
                  <c:v>7/27/26</c:v>
                </c:pt>
              </c:strCache>
            </c:strRef>
          </c:cat>
          <c:val>
            <c:numRef>
              <c:f>Data!$I$4:$I$33</c:f>
              <c:numCache>
                <c:formatCode>_(* #,##0_);_(* \(#,##0\);_(* "-"??_);_(@_)</c:formatCode>
                <c:ptCount val="30"/>
                <c:pt idx="0">
                  <c:v>432281549.83499914</c:v>
                </c:pt>
                <c:pt idx="1">
                  <c:v>429135067.55499911</c:v>
                </c:pt>
                <c:pt idx="2">
                  <c:v>430771902.06499916</c:v>
                </c:pt>
                <c:pt idx="3">
                  <c:v>556094257.3349992</c:v>
                </c:pt>
                <c:pt idx="4">
                  <c:v>616286776.80499911</c:v>
                </c:pt>
                <c:pt idx="5">
                  <c:v>616286776.80499911</c:v>
                </c:pt>
                <c:pt idx="6">
                  <c:v>616286776.80499911</c:v>
                </c:pt>
                <c:pt idx="7">
                  <c:v>616286776.80499911</c:v>
                </c:pt>
                <c:pt idx="8">
                  <c:v>490738056.16499913</c:v>
                </c:pt>
                <c:pt idx="9">
                  <c:v>462083684.31499904</c:v>
                </c:pt>
                <c:pt idx="10">
                  <c:v>641027918.62499905</c:v>
                </c:pt>
                <c:pt idx="11">
                  <c:v>631757467.97499907</c:v>
                </c:pt>
                <c:pt idx="12">
                  <c:v>551047674.23499918</c:v>
                </c:pt>
                <c:pt idx="13">
                  <c:v>551047674.23499918</c:v>
                </c:pt>
                <c:pt idx="14">
                  <c:v>551047674.23499918</c:v>
                </c:pt>
                <c:pt idx="15">
                  <c:v>547411988.78499913</c:v>
                </c:pt>
                <c:pt idx="16">
                  <c:v>581619119.57499921</c:v>
                </c:pt>
                <c:pt idx="17">
                  <c:v>582796676.61499918</c:v>
                </c:pt>
                <c:pt idx="18">
                  <c:v>581685229.66499913</c:v>
                </c:pt>
                <c:pt idx="19">
                  <c:v>561215739.96499908</c:v>
                </c:pt>
                <c:pt idx="20">
                  <c:v>561215739.96499908</c:v>
                </c:pt>
                <c:pt idx="21">
                  <c:v>561215739.96499908</c:v>
                </c:pt>
                <c:pt idx="22">
                  <c:v>574612008.89499903</c:v>
                </c:pt>
                <c:pt idx="23">
                  <c:v>571789986.924999</c:v>
                </c:pt>
                <c:pt idx="24">
                  <c:v>573911317.97499907</c:v>
                </c:pt>
                <c:pt idx="25">
                  <c:v>574439840.80499887</c:v>
                </c:pt>
                <c:pt idx="26">
                  <c:v>551587975.59499896</c:v>
                </c:pt>
                <c:pt idx="27">
                  <c:v>551587975.59499896</c:v>
                </c:pt>
                <c:pt idx="28">
                  <c:v>551587975.59499896</c:v>
                </c:pt>
                <c:pt idx="29">
                  <c:v>549801253.98499894</c:v>
                </c:pt>
              </c:numCache>
            </c:numRef>
          </c:val>
          <c:extLst>
            <c:ext xmlns:c16="http://schemas.microsoft.com/office/drawing/2014/chart" uri="{C3380CC4-5D6E-409C-BE32-E72D297353CC}">
              <c16:uniqueId val="{00000000-3CD5-4F3E-AF05-C2A927614EAE}"/>
            </c:ext>
          </c:extLst>
        </c:ser>
        <c:dLbls>
          <c:showLegendKey val="0"/>
          <c:showVal val="0"/>
          <c:showCatName val="0"/>
          <c:showSerName val="0"/>
          <c:showPercent val="0"/>
          <c:showBubbleSize val="0"/>
        </c:dLbls>
        <c:gapWidth val="100"/>
        <c:overlap val="-24"/>
        <c:axId val="581364352"/>
        <c:axId val="581364680"/>
      </c:barChart>
      <c:catAx>
        <c:axId val="581364352"/>
        <c:scaling>
          <c:orientation val="minMax"/>
        </c:scaling>
        <c:delete val="0"/>
        <c:axPos val="b"/>
        <c:numFmt formatCode="m/d/yyyy" sourceLinked="0"/>
        <c:majorTickMark val="none"/>
        <c:minorTickMark val="none"/>
        <c:tickLblPos val="low"/>
        <c:spPr>
          <a:noFill/>
          <a:ln w="12700" cap="flat" cmpd="sng" algn="ctr">
            <a:solidFill>
              <a:schemeClr val="tx1">
                <a:lumMod val="15000"/>
                <a:lumOff val="85000"/>
              </a:schemeClr>
            </a:solidFill>
            <a:round/>
          </a:ln>
          <a:effectLst/>
        </c:spPr>
        <c:txPr>
          <a:bodyPr rot="-5400000" spcFirstLastPara="1" vertOverflow="ellipsis" wrap="square" anchor="ctr" anchorCtr="1"/>
          <a:lstStyle/>
          <a:p>
            <a:pPr>
              <a:defRPr sz="3000" b="1" i="0" u="none" strike="noStrike" kern="1200" baseline="0">
                <a:solidFill>
                  <a:schemeClr val="tx1"/>
                </a:solidFill>
                <a:latin typeface="+mn-lt"/>
                <a:ea typeface="+mn-ea"/>
                <a:cs typeface="+mn-cs"/>
              </a:defRPr>
            </a:pPr>
            <a:endParaRPr lang="en-US"/>
          </a:p>
        </c:txPr>
        <c:crossAx val="581364680"/>
        <c:crosses val="autoZero"/>
        <c:auto val="0"/>
        <c:lblAlgn val="ctr"/>
        <c:lblOffset val="100"/>
        <c:noMultiLvlLbl val="0"/>
      </c:catAx>
      <c:valAx>
        <c:axId val="581364680"/>
        <c:scaling>
          <c:orientation val="minMax"/>
        </c:scaling>
        <c:delete val="0"/>
        <c:axPos val="l"/>
        <c:majorGridlines>
          <c:spPr>
            <a:ln w="9525" cap="flat" cmpd="sng" algn="ctr">
              <a:solidFill>
                <a:schemeClr val="tx1"/>
              </a:solidFill>
              <a:round/>
            </a:ln>
            <a:effectLst/>
          </c:spPr>
        </c:majorGridlines>
        <c:numFmt formatCode="&quot;$&quot;#,##0" sourceLinked="0"/>
        <c:majorTickMark val="none"/>
        <c:minorTickMark val="none"/>
        <c:tickLblPos val="nextTo"/>
        <c:spPr>
          <a:noFill/>
          <a:ln>
            <a:noFill/>
          </a:ln>
          <a:effectLst/>
        </c:spPr>
        <c:txPr>
          <a:bodyPr rot="-60000000" spcFirstLastPara="1" vertOverflow="ellipsis" vert="horz" wrap="square" anchor="ctr" anchorCtr="1"/>
          <a:lstStyle/>
          <a:p>
            <a:pPr>
              <a:defRPr sz="3200" b="1" i="0" u="none" strike="noStrike" kern="1200" baseline="0">
                <a:solidFill>
                  <a:schemeClr val="tx1"/>
                </a:solidFill>
                <a:latin typeface="+mn-lt"/>
                <a:ea typeface="+mn-ea"/>
                <a:cs typeface="+mn-cs"/>
              </a:defRPr>
            </a:pPr>
            <a:endParaRPr lang="en-US"/>
          </a:p>
        </c:txPr>
        <c:crossAx val="581364352"/>
        <c:crosses val="autoZero"/>
        <c:crossBetween val="between"/>
        <c:dispUnits>
          <c:builtInUnit val="millions"/>
          <c:dispUnitsLbl>
            <c:layout>
              <c:manualLayout>
                <c:xMode val="edge"/>
                <c:yMode val="edge"/>
                <c:x val="1.4952598246715191E-3"/>
                <c:y val="0.38957004625918773"/>
              </c:manualLayout>
            </c:layout>
            <c:tx>
              <c:rich>
                <a:bodyPr rot="-5400000" spcFirstLastPara="1" vertOverflow="ellipsis" vert="horz" wrap="square" anchor="ctr" anchorCtr="1"/>
                <a:lstStyle/>
                <a:p>
                  <a:pPr>
                    <a:defRPr sz="3000" b="0" i="0" u="none" strike="noStrike" kern="1200" baseline="0">
                      <a:solidFill>
                        <a:schemeClr val="tx1">
                          <a:lumMod val="65000"/>
                          <a:lumOff val="35000"/>
                        </a:schemeClr>
                      </a:solidFill>
                      <a:latin typeface="+mn-lt"/>
                      <a:ea typeface="+mn-ea"/>
                      <a:cs typeface="+mn-cs"/>
                    </a:defRPr>
                  </a:pPr>
                  <a:r>
                    <a:rPr lang="en-US" sz="3200"/>
                    <a:t>Millions</a:t>
                  </a:r>
                </a:p>
              </c:rich>
            </c:tx>
            <c:spPr>
              <a:noFill/>
              <a:ln>
                <a:noFill/>
              </a:ln>
              <a:effectLst/>
            </c:spPr>
            <c:txPr>
              <a:bodyPr rot="-5400000" spcFirstLastPara="1" vertOverflow="ellipsis" vert="horz" wrap="square" anchor="ctr" anchorCtr="1"/>
              <a:lstStyle/>
              <a:p>
                <a:pPr>
                  <a:defRPr sz="3000" b="0" i="0" u="none" strike="noStrike" kern="1200" baseline="0">
                    <a:solidFill>
                      <a:schemeClr val="tx1">
                        <a:lumMod val="65000"/>
                        <a:lumOff val="35000"/>
                      </a:schemeClr>
                    </a:solidFill>
                    <a:latin typeface="+mn-lt"/>
                    <a:ea typeface="+mn-ea"/>
                    <a:cs typeface="+mn-cs"/>
                  </a:defRPr>
                </a:pPr>
                <a:endParaRPr lang="en-US"/>
              </a:p>
            </c:txPr>
          </c:dispUnitsLbl>
        </c:dispUnits>
      </c:valAx>
      <c:spPr>
        <a:blipFill dpi="0" rotWithShape="1">
          <a:blip xmlns:r="http://schemas.openxmlformats.org/officeDocument/2006/relationships" r:embed="rId3">
            <a:extLst>
              <a:ext uri="{28A0092B-C50C-407E-A947-70E740481C1C}">
                <a14:useLocalDpi xmlns:a14="http://schemas.microsoft.com/office/drawing/2010/main" val="0"/>
              </a:ext>
            </a:extLst>
          </a:blip>
          <a:srcRect/>
          <a:stretch>
            <a:fillRect/>
          </a:stretch>
        </a:blipFill>
        <a:ln>
          <a:solidFill>
            <a:srgbClr val="0033CC">
              <a:alpha val="46000"/>
            </a:srgbClr>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rnd" cmpd="sng" algn="ctr">
      <a:solidFill>
        <a:srgbClr val="0033CC"/>
      </a:solidFill>
      <a:round/>
    </a:ln>
    <a:effectLst/>
  </c:spPr>
  <c:txPr>
    <a:bodyPr/>
    <a:lstStyle/>
    <a:p>
      <a:pPr>
        <a:defRPr sz="1200"/>
      </a:pPr>
      <a:endParaRPr lang="en-US"/>
    </a:p>
  </c:txPr>
  <c:printSettings>
    <c:headerFooter/>
    <c:pageMargins b="0.75" l="0.7" r="0.7" t="0.75" header="0.3" footer="0.3"/>
    <c:pageSetup orientation="portrait"/>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pivotSource>
    <c:name>[General Fund Daily Cash Balance.xlsx]Data!PivotTable2</c:name>
    <c:fmtId val="6"/>
  </c:pivotSource>
  <c:chart>
    <c:title>
      <c:tx>
        <c:rich>
          <a:bodyPr rot="0" spcFirstLastPara="1" vertOverflow="ellipsis" vert="horz" wrap="square" anchor="ctr" anchorCtr="1"/>
          <a:lstStyle/>
          <a:p>
            <a:pPr algn="l">
              <a:defRPr sz="4400" b="1" i="0" u="none" strike="noStrike" kern="1200" cap="none" spc="20" baseline="0">
                <a:solidFill>
                  <a:schemeClr val="tx1"/>
                </a:solidFill>
                <a:latin typeface="+mn-lt"/>
                <a:ea typeface="+mn-ea"/>
                <a:cs typeface="+mn-cs"/>
              </a:defRPr>
            </a:pPr>
            <a:r>
              <a:rPr lang="en-US" sz="4400" b="1">
                <a:solidFill>
                  <a:sysClr val="windowText" lastClr="000000"/>
                </a:solidFill>
              </a:rPr>
              <a:t>Summary of Funds Available for Borrowing</a:t>
            </a:r>
          </a:p>
        </c:rich>
      </c:tx>
      <c:layout>
        <c:manualLayout>
          <c:xMode val="edge"/>
          <c:yMode val="edge"/>
          <c:x val="0.34890969709867348"/>
          <c:y val="8.5893933916943013E-2"/>
        </c:manualLayout>
      </c:layout>
      <c:overlay val="0"/>
      <c:spPr>
        <a:noFill/>
        <a:ln>
          <a:noFill/>
        </a:ln>
        <a:effectLst/>
      </c:spPr>
      <c:txPr>
        <a:bodyPr rot="0" spcFirstLastPara="1" vertOverflow="ellipsis" vert="horz" wrap="square" anchor="ctr" anchorCtr="1"/>
        <a:lstStyle/>
        <a:p>
          <a:pPr algn="l">
            <a:defRPr sz="4400" b="1" i="0" u="none" strike="noStrike" kern="1200" cap="none" spc="20" baseline="0">
              <a:solidFill>
                <a:schemeClr val="tx1"/>
              </a:solidFill>
              <a:latin typeface="+mn-lt"/>
              <a:ea typeface="+mn-ea"/>
              <a:cs typeface="+mn-cs"/>
            </a:defRPr>
          </a:pPr>
          <a:endParaRPr lang="en-US"/>
        </a:p>
      </c:txPr>
    </c:title>
    <c:autoTitleDeleted val="0"/>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pivotFmt>
      <c:pivotFmt>
        <c:idx val="3"/>
      </c:pivotFmt>
      <c:pivotFmt>
        <c:idx val="4"/>
      </c:pivotFmt>
      <c:pivotFmt>
        <c:idx val="5"/>
        <c:spPr>
          <a:solidFill>
            <a:schemeClr val="tx2">
              <a:lumMod val="75000"/>
              <a:alpha val="80000"/>
            </a:schemeClr>
          </a:solidFill>
          <a:ln w="9525" cap="flat" cmpd="sng" algn="ctr">
            <a:solidFill>
              <a:schemeClr val="tx2">
                <a:lumMod val="75000"/>
              </a:schemeClr>
            </a:solidFill>
            <a:round/>
          </a:ln>
          <a:effectLst>
            <a:outerShdw blurRad="40000" dist="20000" dir="5400000" rotWithShape="0">
              <a:srgbClr val="000000">
                <a:alpha val="38000"/>
              </a:srgbClr>
            </a:outerShdw>
          </a:effectLst>
        </c:spPr>
        <c:marker>
          <c:symbol val="none"/>
        </c:marker>
        <c:dLbl>
          <c:idx val="0"/>
          <c:numFmt formatCode="_(&quot;$&quot;* #,##0.000_);_(&quot;$&quot;* \(#,##0.000\);_(&quot;$&quot;* &quot;-&quot;???_);_(@_)" sourceLinked="0"/>
          <c:spPr>
            <a:solidFill>
              <a:schemeClr val="bg1">
                <a:lumMod val="85000"/>
                <a:alpha val="65000"/>
              </a:schemeClr>
            </a:solidFill>
            <a:ln>
              <a:noFill/>
            </a:ln>
            <a:effectLst/>
          </c:spPr>
          <c:txPr>
            <a:bodyPr rot="0" spcFirstLastPara="1" vertOverflow="ellipsis" vert="horz" wrap="square" lIns="38100" tIns="19050" rIns="38100" bIns="19050" anchor="ctr" anchorCtr="1">
              <a:spAutoFit/>
            </a:bodyPr>
            <a:lstStyle/>
            <a:p>
              <a:pPr>
                <a:defRPr sz="3600" b="1" i="0" u="none" strike="noStrike" kern="1200" baseline="0">
                  <a:solidFill>
                    <a:schemeClr val="tx1"/>
                  </a:solidFill>
                  <a:latin typeface="+mn-lt"/>
                  <a:ea typeface="+mn-ea"/>
                  <a:cs typeface="+mn-cs"/>
                </a:defRPr>
              </a:pPr>
              <a:endParaRPr lang="en-US"/>
            </a:p>
          </c:txPr>
          <c:showLegendKey val="0"/>
          <c:showVal val="1"/>
          <c:showCatName val="0"/>
          <c:showSerName val="1"/>
          <c:showPercent val="0"/>
          <c:showBubbleSize val="0"/>
          <c:extLst>
            <c:ext xmlns:c15="http://schemas.microsoft.com/office/drawing/2012/chart" uri="{CE6537A1-D6FC-4f65-9D91-7224C49458BB}"/>
          </c:extLst>
        </c:dLbl>
      </c:pivotFmt>
      <c:pivotFmt>
        <c:idx val="6"/>
        <c:spPr>
          <a:solidFill>
            <a:schemeClr val="tx2">
              <a:lumMod val="75000"/>
              <a:alpha val="80000"/>
            </a:schemeClr>
          </a:solidFill>
          <a:ln w="9525" cap="flat" cmpd="sng" algn="ctr">
            <a:solidFill>
              <a:schemeClr val="tx2">
                <a:lumMod val="75000"/>
              </a:schemeClr>
            </a:solidFill>
            <a:round/>
          </a:ln>
          <a:effectLst>
            <a:outerShdw blurRad="40000" dist="20000" dir="5400000" rotWithShape="0">
              <a:srgbClr val="000000">
                <a:alpha val="38000"/>
              </a:srgbClr>
            </a:outerShdw>
          </a:effectLst>
        </c:spPr>
        <c:dLbl>
          <c:idx val="0"/>
          <c:layout>
            <c:manualLayout>
              <c:x val="5.4054054054054057E-3"/>
              <c:y val="-9.7581485283027495E-17"/>
            </c:manualLayout>
          </c:layout>
          <c:tx>
            <c:rich>
              <a:bodyPr rot="0" spcFirstLastPara="1" vertOverflow="ellipsis" vert="horz" wrap="square" lIns="38100" tIns="19050" rIns="38100" bIns="19050" anchor="ctr" anchorCtr="1">
                <a:spAutoFit/>
              </a:bodyPr>
              <a:lstStyle/>
              <a:p>
                <a:pPr>
                  <a:defRPr sz="3600" b="1" i="0" u="none" strike="noStrike" kern="1200" baseline="0">
                    <a:solidFill>
                      <a:schemeClr val="tx1"/>
                    </a:solidFill>
                    <a:latin typeface="+mn-lt"/>
                    <a:ea typeface="+mn-ea"/>
                    <a:cs typeface="+mn-cs"/>
                  </a:defRPr>
                </a:pPr>
                <a:fld id="{CB012998-0559-4EB4-B2CD-1B90773AD32E}" type="SERIESNAME">
                  <a:rPr lang="en-US">
                    <a:solidFill>
                      <a:sysClr val="windowText" lastClr="000000"/>
                    </a:solidFill>
                  </a:rPr>
                  <a:pPr>
                    <a:defRPr sz="3600" b="1">
                      <a:solidFill>
                        <a:schemeClr val="tx1"/>
                      </a:solidFill>
                    </a:defRPr>
                  </a:pPr>
                  <a:t>[SERIES NAME]</a:t>
                </a:fld>
                <a:r>
                  <a:rPr lang="en-US" baseline="0">
                    <a:solidFill>
                      <a:sysClr val="windowText" lastClr="000000"/>
                    </a:solidFill>
                  </a:rPr>
                  <a:t>, </a:t>
                </a:r>
                <a:fld id="{5976AEDE-FE87-43D1-9F75-35B3492F8A76}" type="VALUE">
                  <a:rPr lang="en-US" baseline="0">
                    <a:solidFill>
                      <a:sysClr val="windowText" lastClr="000000"/>
                    </a:solidFill>
                  </a:rPr>
                  <a:pPr>
                    <a:defRPr sz="3600" b="1">
                      <a:solidFill>
                        <a:schemeClr val="tx1"/>
                      </a:solidFill>
                    </a:defRPr>
                  </a:pPr>
                  <a:t>[VALUE]</a:t>
                </a:fld>
                <a:endParaRPr lang="en-US" baseline="0">
                  <a:solidFill>
                    <a:sysClr val="windowText" lastClr="000000"/>
                  </a:solidFill>
                </a:endParaRPr>
              </a:p>
            </c:rich>
          </c:tx>
          <c:numFmt formatCode="_(&quot;$&quot;* #,##0.000_);_(&quot;$&quot;* \(#,##0.000\);_(&quot;$&quot;* &quot;-&quot;???_);_(@_)" sourceLinked="0"/>
          <c:spPr>
            <a:solidFill>
              <a:schemeClr val="bg1">
                <a:lumMod val="85000"/>
                <a:alpha val="65000"/>
              </a:schemeClr>
            </a:solidFill>
            <a:ln>
              <a:noFill/>
            </a:ln>
            <a:effectLst/>
          </c:spPr>
          <c:txPr>
            <a:bodyPr rot="0" spcFirstLastPara="1" vertOverflow="ellipsis" vert="horz" wrap="square" lIns="38100" tIns="19050" rIns="38100" bIns="19050" anchor="ctr" anchorCtr="1">
              <a:spAutoFit/>
            </a:bodyPr>
            <a:lstStyle/>
            <a:p>
              <a:pPr>
                <a:defRPr sz="3600" b="1" i="0" u="none" strike="noStrike" kern="1200" baseline="0">
                  <a:solidFill>
                    <a:schemeClr val="tx1"/>
                  </a:solidFill>
                  <a:latin typeface="+mn-lt"/>
                  <a:ea typeface="+mn-ea"/>
                  <a:cs typeface="+mn-cs"/>
                </a:defRPr>
              </a:pPr>
              <a:endParaRPr lang="en-US"/>
            </a:p>
          </c:txPr>
          <c:showLegendKey val="0"/>
          <c:showVal val="1"/>
          <c:showCatName val="0"/>
          <c:showSerName val="1"/>
          <c:showPercent val="0"/>
          <c:showBubbleSize val="0"/>
          <c:extLst>
            <c:ext xmlns:c15="http://schemas.microsoft.com/office/drawing/2012/chart" uri="{CE6537A1-D6FC-4f65-9D91-7224C49458BB}">
              <c15:dlblFieldTable/>
              <c15:showDataLabelsRange val="0"/>
            </c:ext>
          </c:extLst>
        </c:dLbl>
      </c:pivotFmt>
      <c:pivotFmt>
        <c:idx val="7"/>
        <c:spPr>
          <a:solidFill>
            <a:schemeClr val="tx2">
              <a:lumMod val="75000"/>
              <a:alpha val="80000"/>
            </a:schemeClr>
          </a:solidFill>
          <a:ln w="9525" cap="flat" cmpd="sng" algn="ctr">
            <a:solidFill>
              <a:schemeClr val="tx2">
                <a:lumMod val="75000"/>
              </a:schemeClr>
            </a:solidFill>
            <a:round/>
          </a:ln>
          <a:effectLst>
            <a:outerShdw blurRad="40000" dist="20000" dir="5400000" rotWithShape="0">
              <a:srgbClr val="000000">
                <a:alpha val="38000"/>
              </a:srgbClr>
            </a:outerShdw>
          </a:effectLst>
        </c:spPr>
        <c:dLbl>
          <c:idx val="0"/>
          <c:tx>
            <c:rich>
              <a:bodyPr rot="0" spcFirstLastPara="1" vertOverflow="ellipsis" vert="horz" wrap="square" lIns="38100" tIns="19050" rIns="38100" bIns="19050" anchor="ctr" anchorCtr="1">
                <a:spAutoFit/>
              </a:bodyPr>
              <a:lstStyle/>
              <a:p>
                <a:pPr>
                  <a:defRPr sz="3600" b="1" i="0" u="none" strike="noStrike" kern="1200" baseline="0">
                    <a:solidFill>
                      <a:schemeClr val="tx1"/>
                    </a:solidFill>
                    <a:latin typeface="+mn-lt"/>
                    <a:ea typeface="+mn-ea"/>
                    <a:cs typeface="+mn-cs"/>
                  </a:defRPr>
                </a:pPr>
                <a:fld id="{432D9A89-E2A1-4FD9-8A8D-DCE817E63E42}" type="SERIESNAME">
                  <a:rPr lang="en-US">
                    <a:solidFill>
                      <a:sysClr val="windowText" lastClr="000000"/>
                    </a:solidFill>
                  </a:rPr>
                  <a:pPr>
                    <a:defRPr sz="3600" b="1">
                      <a:solidFill>
                        <a:schemeClr val="tx1"/>
                      </a:solidFill>
                    </a:defRPr>
                  </a:pPr>
                  <a:t>[SERIES NAME]</a:t>
                </a:fld>
                <a:r>
                  <a:rPr lang="en-US" baseline="0"/>
                  <a:t>, </a:t>
                </a:r>
                <a:fld id="{A182D569-BA18-4598-BA4E-3180C32CD449}" type="VALUE">
                  <a:rPr lang="en-US" baseline="0">
                    <a:solidFill>
                      <a:sysClr val="windowText" lastClr="000000"/>
                    </a:solidFill>
                  </a:rPr>
                  <a:pPr>
                    <a:defRPr sz="3600" b="1">
                      <a:solidFill>
                        <a:schemeClr val="tx1"/>
                      </a:solidFill>
                    </a:defRPr>
                  </a:pPr>
                  <a:t>[VALUE]</a:t>
                </a:fld>
                <a:endParaRPr lang="en-US" baseline="0"/>
              </a:p>
            </c:rich>
          </c:tx>
          <c:numFmt formatCode="_(&quot;$&quot;* #,##0.000_);_(&quot;$&quot;* \(#,##0.000\);_(&quot;$&quot;* &quot;-&quot;???_);_(@_)" sourceLinked="0"/>
          <c:spPr>
            <a:solidFill>
              <a:schemeClr val="bg1">
                <a:lumMod val="85000"/>
                <a:alpha val="65000"/>
              </a:schemeClr>
            </a:solidFill>
            <a:ln>
              <a:noFill/>
            </a:ln>
            <a:effectLst/>
          </c:spPr>
          <c:txPr>
            <a:bodyPr rot="0" spcFirstLastPara="1" vertOverflow="ellipsis" vert="horz" wrap="square" lIns="38100" tIns="19050" rIns="38100" bIns="19050" anchor="ctr" anchorCtr="1">
              <a:spAutoFit/>
            </a:bodyPr>
            <a:lstStyle/>
            <a:p>
              <a:pPr>
                <a:defRPr sz="3600" b="1" i="0" u="none" strike="noStrike" kern="1200" baseline="0">
                  <a:solidFill>
                    <a:schemeClr val="tx1"/>
                  </a:solidFill>
                  <a:latin typeface="+mn-lt"/>
                  <a:ea typeface="+mn-ea"/>
                  <a:cs typeface="+mn-cs"/>
                </a:defRPr>
              </a:pPr>
              <a:endParaRPr lang="en-US"/>
            </a:p>
          </c:txPr>
          <c:showLegendKey val="0"/>
          <c:showVal val="1"/>
          <c:showCatName val="0"/>
          <c:showSerName val="1"/>
          <c:showPercent val="0"/>
          <c:showBubbleSize val="0"/>
          <c:extLst>
            <c:ext xmlns:c15="http://schemas.microsoft.com/office/drawing/2012/chart" uri="{CE6537A1-D6FC-4f65-9D91-7224C49458BB}">
              <c15:dlblFieldTable/>
              <c15:showDataLabelsRange val="0"/>
            </c:ext>
          </c:extLst>
        </c:dLbl>
      </c:pivotFmt>
      <c:pivotFmt>
        <c:idx val="8"/>
        <c:spPr>
          <a:solidFill>
            <a:schemeClr val="tx2">
              <a:lumMod val="75000"/>
              <a:alpha val="80000"/>
            </a:schemeClr>
          </a:solidFill>
          <a:ln w="9525" cap="flat" cmpd="sng" algn="ctr">
            <a:solidFill>
              <a:schemeClr val="tx2">
                <a:lumMod val="75000"/>
              </a:schemeClr>
            </a:solidFill>
            <a:round/>
          </a:ln>
          <a:effectLst>
            <a:outerShdw blurRad="40000" dist="20000" dir="5400000" rotWithShape="0">
              <a:srgbClr val="000000">
                <a:alpha val="38000"/>
              </a:srgbClr>
            </a:outerShdw>
          </a:effectLst>
        </c:spPr>
        <c:dLbl>
          <c:idx val="0"/>
          <c:layout>
            <c:manualLayout>
              <c:x val="2.7027027027025706E-3"/>
              <c:y val="0"/>
            </c:manualLayout>
          </c:layout>
          <c:tx>
            <c:rich>
              <a:bodyPr rot="0" spcFirstLastPara="1" vertOverflow="ellipsis" vert="horz" wrap="square" lIns="38100" tIns="19050" rIns="38100" bIns="19050" anchor="ctr" anchorCtr="1">
                <a:spAutoFit/>
              </a:bodyPr>
              <a:lstStyle/>
              <a:p>
                <a:pPr>
                  <a:defRPr sz="3600" b="1" i="0" u="none" strike="noStrike" kern="1200" baseline="0">
                    <a:solidFill>
                      <a:schemeClr val="tx2">
                        <a:lumMod val="75000"/>
                      </a:schemeClr>
                    </a:solidFill>
                    <a:latin typeface="+mn-lt"/>
                    <a:ea typeface="+mn-ea"/>
                    <a:cs typeface="+mn-cs"/>
                  </a:defRPr>
                </a:pPr>
                <a:fld id="{C8CD4D9F-8DA0-44C1-8DB6-9DA0DBFE3120}" type="SERIESNAME">
                  <a:rPr lang="en-US">
                    <a:solidFill>
                      <a:sysClr val="windowText" lastClr="000000"/>
                    </a:solidFill>
                  </a:rPr>
                  <a:pPr>
                    <a:defRPr sz="3600" b="1">
                      <a:solidFill>
                        <a:schemeClr val="tx2">
                          <a:lumMod val="75000"/>
                        </a:schemeClr>
                      </a:solidFill>
                    </a:defRPr>
                  </a:pPr>
                  <a:t>[SERIES NAME]</a:t>
                </a:fld>
                <a:r>
                  <a:rPr lang="en-US" baseline="0">
                    <a:solidFill>
                      <a:sysClr val="windowText" lastClr="000000"/>
                    </a:solidFill>
                  </a:rPr>
                  <a:t>,</a:t>
                </a:r>
                <a:r>
                  <a:rPr lang="en-US" baseline="0">
                    <a:solidFill>
                      <a:schemeClr val="bg1"/>
                    </a:solidFill>
                  </a:rPr>
                  <a:t> </a:t>
                </a:r>
                <a:fld id="{449BEA66-C30A-43F0-AC85-4AAED1FDCB70}" type="VALUE">
                  <a:rPr lang="en-US" baseline="0">
                    <a:solidFill>
                      <a:sysClr val="windowText" lastClr="000000"/>
                    </a:solidFill>
                  </a:rPr>
                  <a:pPr>
                    <a:defRPr sz="3600" b="1">
                      <a:solidFill>
                        <a:schemeClr val="tx2">
                          <a:lumMod val="75000"/>
                        </a:schemeClr>
                      </a:solidFill>
                    </a:defRPr>
                  </a:pPr>
                  <a:t>[VALUE]</a:t>
                </a:fld>
                <a:endParaRPr lang="en-US" baseline="0">
                  <a:solidFill>
                    <a:schemeClr val="bg1"/>
                  </a:solidFill>
                </a:endParaRPr>
              </a:p>
            </c:rich>
          </c:tx>
          <c:numFmt formatCode="_(&quot;$&quot;* #,##0.000_);_(&quot;$&quot;* \(#,##0.000\);_(&quot;$&quot;* &quot;-&quot;???_);_(@_)" sourceLinked="0"/>
          <c:spPr>
            <a:solidFill>
              <a:schemeClr val="bg1">
                <a:lumMod val="85000"/>
                <a:alpha val="65000"/>
              </a:schemeClr>
            </a:solidFill>
            <a:ln>
              <a:noFill/>
            </a:ln>
            <a:effectLst/>
          </c:spPr>
          <c:txPr>
            <a:bodyPr rot="0" spcFirstLastPara="1" vertOverflow="ellipsis" vert="horz" wrap="square" lIns="38100" tIns="19050" rIns="38100" bIns="19050" anchor="ctr" anchorCtr="1">
              <a:spAutoFit/>
            </a:bodyPr>
            <a:lstStyle/>
            <a:p>
              <a:pPr>
                <a:defRPr sz="3600" b="1" i="0" u="none" strike="noStrike" kern="1200" baseline="0">
                  <a:solidFill>
                    <a:schemeClr val="tx2">
                      <a:lumMod val="75000"/>
                    </a:schemeClr>
                  </a:solidFill>
                  <a:latin typeface="+mn-lt"/>
                  <a:ea typeface="+mn-ea"/>
                  <a:cs typeface="+mn-cs"/>
                </a:defRPr>
              </a:pPr>
              <a:endParaRPr lang="en-US"/>
            </a:p>
          </c:txPr>
          <c:showLegendKey val="0"/>
          <c:showVal val="1"/>
          <c:showCatName val="0"/>
          <c:showSerName val="1"/>
          <c:showPercent val="0"/>
          <c:showBubbleSize val="0"/>
          <c:extLst>
            <c:ext xmlns:c15="http://schemas.microsoft.com/office/drawing/2012/chart" uri="{CE6537A1-D6FC-4f65-9D91-7224C49458BB}">
              <c15:dlblFieldTable/>
              <c15:showDataLabelsRange val="0"/>
            </c:ext>
          </c:extLst>
        </c:dLbl>
      </c:pivotFmt>
    </c:pivotFmts>
    <c:plotArea>
      <c:layout>
        <c:manualLayout>
          <c:layoutTarget val="inner"/>
          <c:xMode val="edge"/>
          <c:yMode val="edge"/>
          <c:x val="6.8724303043200693E-2"/>
          <c:y val="6.9254456965334443E-2"/>
          <c:w val="0.89882652337376745"/>
          <c:h val="0.79514032302848359"/>
        </c:manualLayout>
      </c:layout>
      <c:barChart>
        <c:barDir val="col"/>
        <c:grouping val="clustered"/>
        <c:varyColors val="0"/>
        <c:ser>
          <c:idx val="0"/>
          <c:order val="0"/>
          <c:tx>
            <c:strRef>
              <c:f>Data!$E$53</c:f>
              <c:strCache>
                <c:ptCount val="1"/>
                <c:pt idx="0">
                  <c:v>Total</c:v>
                </c:pt>
              </c:strCache>
            </c:strRef>
          </c:tx>
          <c:spPr>
            <a:solidFill>
              <a:schemeClr val="tx2">
                <a:lumMod val="75000"/>
                <a:alpha val="80000"/>
              </a:schemeClr>
            </a:solidFill>
            <a:ln w="9525" cap="flat" cmpd="sng" algn="ctr">
              <a:solidFill>
                <a:schemeClr val="tx2">
                  <a:lumMod val="75000"/>
                </a:schemeClr>
              </a:solidFill>
              <a:round/>
            </a:ln>
            <a:effectLst>
              <a:outerShdw blurRad="40000" dist="20000" dir="5400000" rotWithShape="0">
                <a:srgbClr val="000000">
                  <a:alpha val="38000"/>
                </a:srgbClr>
              </a:outerShdw>
            </a:effectLst>
          </c:spPr>
          <c:invertIfNegative val="0"/>
          <c:dPt>
            <c:idx val="0"/>
            <c:invertIfNegative val="0"/>
            <c:bubble3D val="0"/>
            <c:spPr>
              <a:solidFill>
                <a:schemeClr val="tx2">
                  <a:lumMod val="75000"/>
                  <a:alpha val="80000"/>
                </a:schemeClr>
              </a:solidFill>
              <a:ln w="9525" cap="flat" cmpd="sng" algn="ctr">
                <a:solidFill>
                  <a:schemeClr val="tx2">
                    <a:lumMod val="7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2-775F-4461-A4C8-D69F134F8105}"/>
              </c:ext>
            </c:extLst>
          </c:dPt>
          <c:dPt>
            <c:idx val="1"/>
            <c:invertIfNegative val="0"/>
            <c:bubble3D val="0"/>
            <c:spPr>
              <a:solidFill>
                <a:schemeClr val="tx2">
                  <a:lumMod val="75000"/>
                  <a:alpha val="80000"/>
                </a:schemeClr>
              </a:solidFill>
              <a:ln w="9525" cap="flat" cmpd="sng" algn="ctr">
                <a:solidFill>
                  <a:schemeClr val="tx2">
                    <a:lumMod val="7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1-775F-4461-A4C8-D69F134F8105}"/>
              </c:ext>
            </c:extLst>
          </c:dPt>
          <c:dPt>
            <c:idx val="2"/>
            <c:invertIfNegative val="0"/>
            <c:bubble3D val="0"/>
            <c:spPr>
              <a:solidFill>
                <a:schemeClr val="tx2">
                  <a:lumMod val="75000"/>
                  <a:alpha val="80000"/>
                </a:schemeClr>
              </a:solidFill>
              <a:ln w="9525" cap="flat" cmpd="sng" algn="ctr">
                <a:solidFill>
                  <a:schemeClr val="tx2">
                    <a:lumMod val="7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0-775F-4461-A4C8-D69F134F8105}"/>
              </c:ext>
            </c:extLst>
          </c:dPt>
          <c:dLbls>
            <c:dLbl>
              <c:idx val="0"/>
              <c:layout>
                <c:manualLayout>
                  <c:x val="5.4054054054054057E-3"/>
                  <c:y val="-9.7581485283027495E-17"/>
                </c:manualLayout>
              </c:layout>
              <c:tx>
                <c:rich>
                  <a:bodyPr/>
                  <a:lstStyle/>
                  <a:p>
                    <a:fld id="{CB012998-0559-4EB4-B2CD-1B90773AD32E}" type="SERIESNAME">
                      <a:rPr lang="en-US">
                        <a:solidFill>
                          <a:sysClr val="windowText" lastClr="000000"/>
                        </a:solidFill>
                      </a:rPr>
                      <a:pPr/>
                      <a:t>[SERIES NAME]</a:t>
                    </a:fld>
                    <a:r>
                      <a:rPr lang="en-US" baseline="0">
                        <a:solidFill>
                          <a:sysClr val="windowText" lastClr="000000"/>
                        </a:solidFill>
                      </a:rPr>
                      <a:t>, </a:t>
                    </a:r>
                    <a:fld id="{5976AEDE-FE87-43D1-9F75-35B3492F8A76}" type="VALUE">
                      <a:rPr lang="en-US" baseline="0">
                        <a:solidFill>
                          <a:sysClr val="windowText" lastClr="000000"/>
                        </a:solidFill>
                      </a:rPr>
                      <a:pPr/>
                      <a:t>[VALUE]</a:t>
                    </a:fld>
                    <a:endParaRPr lang="en-US" baseline="0">
                      <a:solidFill>
                        <a:sysClr val="windowText" lastClr="000000"/>
                      </a:solidFill>
                    </a:endParaRPr>
                  </a:p>
                </c:rich>
              </c:tx>
              <c:showLegendKey val="0"/>
              <c:showVal val="1"/>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775F-4461-A4C8-D69F134F8105}"/>
                </c:ext>
              </c:extLst>
            </c:dLbl>
            <c:dLbl>
              <c:idx val="1"/>
              <c:tx>
                <c:rich>
                  <a:bodyPr/>
                  <a:lstStyle/>
                  <a:p>
                    <a:fld id="{432D9A89-E2A1-4FD9-8A8D-DCE817E63E42}" type="SERIESNAME">
                      <a:rPr lang="en-US">
                        <a:solidFill>
                          <a:sysClr val="windowText" lastClr="000000"/>
                        </a:solidFill>
                      </a:rPr>
                      <a:pPr/>
                      <a:t>[SERIES NAME]</a:t>
                    </a:fld>
                    <a:r>
                      <a:rPr lang="en-US" baseline="0"/>
                      <a:t>, </a:t>
                    </a:r>
                    <a:fld id="{A182D569-BA18-4598-BA4E-3180C32CD449}" type="VALUE">
                      <a:rPr lang="en-US" baseline="0">
                        <a:solidFill>
                          <a:sysClr val="windowText" lastClr="000000"/>
                        </a:solidFill>
                      </a:rPr>
                      <a:pPr/>
                      <a:t>[VALUE]</a:t>
                    </a:fld>
                    <a:endParaRPr lang="en-US" baseline="0"/>
                  </a:p>
                </c:rich>
              </c:tx>
              <c:showLegendKey val="0"/>
              <c:showVal val="1"/>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775F-4461-A4C8-D69F134F8105}"/>
                </c:ext>
              </c:extLst>
            </c:dLbl>
            <c:dLbl>
              <c:idx val="2"/>
              <c:layout>
                <c:manualLayout>
                  <c:x val="2.7027027027025706E-3"/>
                  <c:y val="0"/>
                </c:manualLayout>
              </c:layout>
              <c:tx>
                <c:rich>
                  <a:bodyPr rot="0" spcFirstLastPara="1" vertOverflow="ellipsis" vert="horz" wrap="square" lIns="38100" tIns="19050" rIns="38100" bIns="19050" anchor="ctr" anchorCtr="1">
                    <a:spAutoFit/>
                  </a:bodyPr>
                  <a:lstStyle/>
                  <a:p>
                    <a:pPr>
                      <a:defRPr sz="3600" b="1" i="0" u="none" strike="noStrike" kern="1200" baseline="0">
                        <a:solidFill>
                          <a:schemeClr val="tx2">
                            <a:lumMod val="75000"/>
                          </a:schemeClr>
                        </a:solidFill>
                        <a:latin typeface="+mn-lt"/>
                        <a:ea typeface="+mn-ea"/>
                        <a:cs typeface="+mn-cs"/>
                      </a:defRPr>
                    </a:pPr>
                    <a:fld id="{C8CD4D9F-8DA0-44C1-8DB6-9DA0DBFE3120}" type="SERIESNAME">
                      <a:rPr lang="en-US">
                        <a:solidFill>
                          <a:sysClr val="windowText" lastClr="000000"/>
                        </a:solidFill>
                      </a:rPr>
                      <a:pPr>
                        <a:defRPr sz="3600" b="1">
                          <a:solidFill>
                            <a:schemeClr val="tx2">
                              <a:lumMod val="75000"/>
                            </a:schemeClr>
                          </a:solidFill>
                        </a:defRPr>
                      </a:pPr>
                      <a:t>[SERIES NAME]</a:t>
                    </a:fld>
                    <a:r>
                      <a:rPr lang="en-US" baseline="0">
                        <a:solidFill>
                          <a:sysClr val="windowText" lastClr="000000"/>
                        </a:solidFill>
                      </a:rPr>
                      <a:t>,</a:t>
                    </a:r>
                    <a:r>
                      <a:rPr lang="en-US" baseline="0">
                        <a:solidFill>
                          <a:schemeClr val="bg1"/>
                        </a:solidFill>
                      </a:rPr>
                      <a:t> </a:t>
                    </a:r>
                    <a:fld id="{449BEA66-C30A-43F0-AC85-4AAED1FDCB70}" type="VALUE">
                      <a:rPr lang="en-US" baseline="0">
                        <a:solidFill>
                          <a:sysClr val="windowText" lastClr="000000"/>
                        </a:solidFill>
                      </a:rPr>
                      <a:pPr>
                        <a:defRPr sz="3600" b="1">
                          <a:solidFill>
                            <a:schemeClr val="tx2">
                              <a:lumMod val="75000"/>
                            </a:schemeClr>
                          </a:solidFill>
                        </a:defRPr>
                      </a:pPr>
                      <a:t>[VALUE]</a:t>
                    </a:fld>
                    <a:endParaRPr lang="en-US" baseline="0">
                      <a:solidFill>
                        <a:schemeClr val="bg1"/>
                      </a:solidFill>
                    </a:endParaRPr>
                  </a:p>
                </c:rich>
              </c:tx>
              <c:numFmt formatCode="_(&quot;$&quot;* #,##0.000_);_(&quot;$&quot;* \(#,##0.000\);_(&quot;$&quot;* &quot;-&quot;???_);_(@_)" sourceLinked="0"/>
              <c:spPr>
                <a:solidFill>
                  <a:schemeClr val="bg1">
                    <a:lumMod val="85000"/>
                    <a:alpha val="65000"/>
                  </a:schemeClr>
                </a:solidFill>
                <a:ln>
                  <a:noFill/>
                </a:ln>
                <a:effectLst/>
              </c:spPr>
              <c:txPr>
                <a:bodyPr rot="0" spcFirstLastPara="1" vertOverflow="ellipsis" vert="horz" wrap="square" lIns="38100" tIns="19050" rIns="38100" bIns="19050" anchor="ctr" anchorCtr="1">
                  <a:spAutoFit/>
                </a:bodyPr>
                <a:lstStyle/>
                <a:p>
                  <a:pPr>
                    <a:defRPr sz="3600" b="1" i="0" u="none" strike="noStrike" kern="1200" baseline="0">
                      <a:solidFill>
                        <a:schemeClr val="tx2">
                          <a:lumMod val="75000"/>
                        </a:schemeClr>
                      </a:solidFill>
                      <a:latin typeface="+mn-lt"/>
                      <a:ea typeface="+mn-ea"/>
                      <a:cs typeface="+mn-cs"/>
                    </a:defRPr>
                  </a:pPr>
                  <a:endParaRPr lang="en-US"/>
                </a:p>
              </c:txPr>
              <c:showLegendKey val="0"/>
              <c:showVal val="1"/>
              <c:showCatName val="0"/>
              <c:showSerName val="1"/>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0-775F-4461-A4C8-D69F134F8105}"/>
                </c:ext>
              </c:extLst>
            </c:dLbl>
            <c:numFmt formatCode="_(&quot;$&quot;* #,##0.000_);_(&quot;$&quot;* \(#,##0.000\);_(&quot;$&quot;* &quot;-&quot;???_);_(@_)" sourceLinked="0"/>
            <c:spPr>
              <a:solidFill>
                <a:schemeClr val="bg1">
                  <a:lumMod val="85000"/>
                  <a:alpha val="65000"/>
                </a:schemeClr>
              </a:solidFill>
              <a:ln>
                <a:noFill/>
              </a:ln>
              <a:effectLst/>
            </c:spPr>
            <c:txPr>
              <a:bodyPr rot="0" spcFirstLastPara="1" vertOverflow="ellipsis" vert="horz" wrap="square" lIns="38100" tIns="19050" rIns="38100" bIns="19050" anchor="ctr" anchorCtr="1">
                <a:spAutoFit/>
              </a:bodyPr>
              <a:lstStyle/>
              <a:p>
                <a:pPr>
                  <a:defRPr sz="3600" b="1" i="0" u="none" strike="noStrike" kern="1200" baseline="0">
                    <a:solidFill>
                      <a:schemeClr val="tx1"/>
                    </a:solidFill>
                    <a:latin typeface="+mn-lt"/>
                    <a:ea typeface="+mn-ea"/>
                    <a:cs typeface="+mn-cs"/>
                  </a:defRPr>
                </a:pPr>
                <a:endParaRPr lang="en-US"/>
              </a:p>
            </c:txPr>
            <c:showLegendKey val="0"/>
            <c:showVal val="1"/>
            <c:showCatName val="0"/>
            <c:showSerName val="1"/>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Data!$D$54:$D$57</c:f>
              <c:strCache>
                <c:ptCount val="3"/>
                <c:pt idx="0">
                  <c:v>General Fund Balance</c:v>
                </c:pt>
                <c:pt idx="1">
                  <c:v>Total Available Funds for Borrowing</c:v>
                </c:pt>
                <c:pt idx="2">
                  <c:v>Total Funds with Borrowing Restrictions</c:v>
                </c:pt>
              </c:strCache>
            </c:strRef>
          </c:cat>
          <c:val>
            <c:numRef>
              <c:f>Data!$E$54:$E$57</c:f>
              <c:numCache>
                <c:formatCode>_("$"* #,##0_);_("$"* \(#,##0\);_("$"* "-"??_);_(@_)</c:formatCode>
                <c:ptCount val="3"/>
                <c:pt idx="0">
                  <c:v>549801253.98499894</c:v>
                </c:pt>
                <c:pt idx="1">
                  <c:v>2774681030.7800002</c:v>
                </c:pt>
                <c:pt idx="2">
                  <c:v>13590722484.650005</c:v>
                </c:pt>
              </c:numCache>
            </c:numRef>
          </c:val>
          <c:extLst>
            <c:ext xmlns:c16="http://schemas.microsoft.com/office/drawing/2014/chart" uri="{C3380CC4-5D6E-409C-BE32-E72D297353CC}">
              <c16:uniqueId val="{00000006-DB26-4CAC-9ED8-2B1BE76C1783}"/>
            </c:ext>
          </c:extLst>
        </c:ser>
        <c:dLbls>
          <c:showLegendKey val="0"/>
          <c:showVal val="1"/>
          <c:showCatName val="0"/>
          <c:showSerName val="0"/>
          <c:showPercent val="0"/>
          <c:showBubbleSize val="0"/>
        </c:dLbls>
        <c:gapWidth val="115"/>
        <c:axId val="677370960"/>
        <c:axId val="677373256"/>
      </c:barChart>
      <c:catAx>
        <c:axId val="677370960"/>
        <c:scaling>
          <c:orientation val="minMax"/>
        </c:scaling>
        <c:delete val="0"/>
        <c:axPos val="b"/>
        <c:minorGridlines>
          <c:spPr>
            <a:ln>
              <a:noFill/>
            </a:ln>
            <a:effectLst/>
          </c:spPr>
        </c:minorGridlines>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0"/>
          <a:lstStyle/>
          <a:p>
            <a:pPr>
              <a:defRPr sz="3600" b="0" i="0" u="none" strike="noStrike" kern="1200" baseline="0">
                <a:solidFill>
                  <a:schemeClr val="tx1"/>
                </a:solidFill>
                <a:latin typeface="+mn-lt"/>
                <a:ea typeface="+mn-ea"/>
                <a:cs typeface="+mn-cs"/>
              </a:defRPr>
            </a:pPr>
            <a:endParaRPr lang="en-US"/>
          </a:p>
        </c:txPr>
        <c:crossAx val="677373256"/>
        <c:crosses val="autoZero"/>
        <c:auto val="0"/>
        <c:lblAlgn val="ctr"/>
        <c:lblOffset val="100"/>
        <c:noMultiLvlLbl val="0"/>
      </c:catAx>
      <c:valAx>
        <c:axId val="677373256"/>
        <c:scaling>
          <c:orientation val="minMax"/>
        </c:scaling>
        <c:delete val="0"/>
        <c:axPos val="l"/>
        <c:majorGridlines>
          <c:spPr>
            <a:ln w="9525" cap="flat" cmpd="sng" algn="ctr">
              <a:solidFill>
                <a:schemeClr val="tx1"/>
              </a:solidFill>
              <a:round/>
            </a:ln>
            <a:effectLst/>
          </c:spPr>
        </c:majorGridlines>
        <c:numFmt formatCode="_(&quot;$&quot;* #,##0_);_(&quot;$&quot;* \(#,##0\);_(&quot;$&quot;* &quot;-&quot;_);_(@_)" sourceLinked="0"/>
        <c:majorTickMark val="none"/>
        <c:minorTickMark val="none"/>
        <c:tickLblPos val="nextTo"/>
        <c:spPr>
          <a:noFill/>
          <a:ln>
            <a:noFill/>
          </a:ln>
          <a:effectLst/>
        </c:spPr>
        <c:txPr>
          <a:bodyPr rot="-60000000" spcFirstLastPara="1" vertOverflow="ellipsis" vert="horz" wrap="square" anchor="ctr" anchorCtr="1"/>
          <a:lstStyle/>
          <a:p>
            <a:pPr>
              <a:defRPr sz="3600" b="0" i="0" u="none" strike="noStrike" kern="1200" baseline="0">
                <a:solidFill>
                  <a:schemeClr val="tx1"/>
                </a:solidFill>
                <a:latin typeface="+mn-lt"/>
                <a:ea typeface="+mn-ea"/>
                <a:cs typeface="+mn-cs"/>
              </a:defRPr>
            </a:pPr>
            <a:endParaRPr lang="en-US"/>
          </a:p>
        </c:txPr>
        <c:crossAx val="677370960"/>
        <c:crosses val="autoZero"/>
        <c:crossBetween val="between"/>
        <c:dispUnits>
          <c:builtInUnit val="billions"/>
          <c:dispUnitsLbl>
            <c:layout>
              <c:manualLayout>
                <c:xMode val="edge"/>
                <c:yMode val="edge"/>
                <c:x val="8.2686741859970218E-3"/>
                <c:y val="0.35330556734300428"/>
              </c:manualLayout>
            </c:layout>
            <c:tx>
              <c:rich>
                <a:bodyPr rot="-5400000" spcFirstLastPara="1" vertOverflow="ellipsis" vert="horz" wrap="square" anchor="ctr" anchorCtr="1"/>
                <a:lstStyle/>
                <a:p>
                  <a:pPr>
                    <a:defRPr sz="3000" b="0" i="0" u="none" strike="noStrike" kern="1200" cap="all" baseline="0">
                      <a:solidFill>
                        <a:schemeClr val="tx1"/>
                      </a:solidFill>
                      <a:latin typeface="+mn-lt"/>
                      <a:ea typeface="+mn-ea"/>
                      <a:cs typeface="+mn-cs"/>
                    </a:defRPr>
                  </a:pPr>
                  <a:r>
                    <a:rPr lang="en-US" sz="4000"/>
                    <a:t>Billions</a:t>
                  </a:r>
                </a:p>
              </c:rich>
            </c:tx>
            <c:spPr>
              <a:noFill/>
              <a:ln>
                <a:noFill/>
              </a:ln>
              <a:effectLst/>
            </c:spPr>
            <c:txPr>
              <a:bodyPr rot="-5400000" spcFirstLastPara="1" vertOverflow="ellipsis" vert="horz" wrap="square" anchor="ctr" anchorCtr="1"/>
              <a:lstStyle/>
              <a:p>
                <a:pPr>
                  <a:defRPr sz="3000" b="0" i="0" u="none" strike="noStrike" kern="1200" cap="all" baseline="0">
                    <a:solidFill>
                      <a:schemeClr val="tx1"/>
                    </a:solidFill>
                    <a:latin typeface="+mn-lt"/>
                    <a:ea typeface="+mn-ea"/>
                    <a:cs typeface="+mn-cs"/>
                  </a:defRPr>
                </a:pPr>
                <a:endParaRPr lang="en-US"/>
              </a:p>
            </c:txPr>
          </c:dispUnitsLbl>
        </c:dispUnits>
      </c:valAx>
      <c:spPr>
        <a:blipFill>
          <a:blip xmlns:r="http://schemas.openxmlformats.org/officeDocument/2006/relationships" r:embed="rId3"/>
          <a:stretch>
            <a:fillRect/>
          </a:stretch>
        </a:blipFill>
        <a:ln w="19050">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lumMod val="85000"/>
      </a:schemeClr>
    </a:solidFill>
    <a:ln w="9525" cap="flat" cmpd="sng" algn="ctr">
      <a:solidFill>
        <a:srgbClr val="0033CC"/>
      </a:solidFill>
      <a:round/>
    </a:ln>
    <a:effectLst/>
  </c:spPr>
  <c:txPr>
    <a:bodyPr/>
    <a:lstStyle/>
    <a:p>
      <a:pPr>
        <a:defRPr/>
      </a:pPr>
      <a:endParaRPr lang="en-US"/>
    </a:p>
  </c:txPr>
  <c:printSettings>
    <c:headerFooter/>
    <c:pageMargins b="0.75" l="0.7" r="0.7" t="0.75" header="0.3" footer="0.3"/>
    <c:pageSetup orientation="portrait"/>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pivotSource>
    <c:name>[General Fund Daily Cash Balance.xlsx]Data!PivotTable7</c:name>
    <c:fmtId val="10"/>
  </c:pivotSource>
  <c:chart>
    <c:title>
      <c:tx>
        <c:rich>
          <a:bodyPr rot="0" spcFirstLastPara="1" vertOverflow="ellipsis" vert="horz" wrap="square" anchor="ctr" anchorCtr="1"/>
          <a:lstStyle/>
          <a:p>
            <a:pPr algn="l">
              <a:defRPr sz="3600" b="1" i="0" u="none" strike="noStrike" kern="1200" spc="0" baseline="0">
                <a:solidFill>
                  <a:schemeClr val="tx1"/>
                </a:solidFill>
                <a:latin typeface="+mn-lt"/>
                <a:ea typeface="+mn-ea"/>
                <a:cs typeface="+mn-cs"/>
              </a:defRPr>
            </a:pPr>
            <a:r>
              <a:rPr lang="en-US" sz="3800" b="1" i="0" u="none" strike="noStrike" kern="1200" spc="0" baseline="0">
                <a:solidFill>
                  <a:schemeClr val="bg1"/>
                </a:solidFill>
                <a:latin typeface="+mn-lt"/>
                <a:ea typeface="+mn-ea"/>
                <a:cs typeface="+mn-cs"/>
              </a:rPr>
              <a:t>Breakdown by Cash </a:t>
            </a:r>
            <a:r>
              <a:rPr lang="en-US" sz="3800" b="1">
                <a:solidFill>
                  <a:schemeClr val="bg1"/>
                </a:solidFill>
              </a:rPr>
              <a:t>Accounts</a:t>
            </a:r>
          </a:p>
        </c:rich>
      </c:tx>
      <c:layout>
        <c:manualLayout>
          <c:xMode val="edge"/>
          <c:yMode val="edge"/>
          <c:x val="0.38680921972382321"/>
          <c:y val="2.3577472523963697E-2"/>
        </c:manualLayout>
      </c:layout>
      <c:overlay val="0"/>
      <c:spPr>
        <a:noFill/>
        <a:ln>
          <a:noFill/>
        </a:ln>
        <a:effectLst/>
      </c:spPr>
      <c:txPr>
        <a:bodyPr rot="0" spcFirstLastPara="1" vertOverflow="ellipsis" vert="horz" wrap="square" anchor="ctr" anchorCtr="1"/>
        <a:lstStyle/>
        <a:p>
          <a:pPr algn="l">
            <a:defRPr sz="3600" b="1" i="0" u="none" strike="noStrike" kern="1200" spc="0" baseline="0">
              <a:solidFill>
                <a:schemeClr val="tx1"/>
              </a:solidFill>
              <a:latin typeface="+mn-lt"/>
              <a:ea typeface="+mn-ea"/>
              <a:cs typeface="+mn-cs"/>
            </a:defRPr>
          </a:pPr>
          <a:endParaRPr lang="en-US"/>
        </a:p>
      </c:txPr>
    </c:title>
    <c:autoTitleDeleted val="0"/>
    <c:pivotFmts>
      <c:pivotFmt>
        <c:idx val="0"/>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1"/>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2"/>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3"/>
        <c:spPr>
          <a:solidFill>
            <a:schemeClr val="accent1"/>
          </a:solidFill>
          <a:ln>
            <a:noFill/>
          </a:ln>
          <a:effectLst/>
        </c:spP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1"/>
          <c:showVal val="1"/>
          <c:showCatName val="1"/>
          <c:showSerName val="1"/>
          <c:showPercent val="1"/>
          <c:showBubbleSize val="1"/>
          <c:extLst>
            <c:ext xmlns:c15="http://schemas.microsoft.com/office/drawing/2012/chart" uri="{CE6537A1-D6FC-4f65-9D91-7224C49458BB}"/>
          </c:extLst>
        </c:dLbl>
      </c:pivotFmt>
      <c:pivotFmt>
        <c:idx val="4"/>
        <c:spPr>
          <a:solidFill>
            <a:schemeClr val="tx2">
              <a:lumMod val="75000"/>
            </a:schemeClr>
          </a:solidFill>
          <a:ln>
            <a:noFill/>
          </a:ln>
          <a:effectLst/>
        </c:spPr>
        <c:marker>
          <c:symbol val="none"/>
        </c:marker>
        <c:dLbl>
          <c:idx val="0"/>
          <c:numFmt formatCode="&quot;$&quot;#,##0.0000" sourceLinked="0"/>
          <c:spPr>
            <a:solidFill>
              <a:schemeClr val="bg1">
                <a:lumMod val="85000"/>
                <a:alpha val="65000"/>
              </a:schemeClr>
            </a:solidFill>
            <a:ln>
              <a:noFill/>
            </a:ln>
            <a:effectLst/>
          </c:spPr>
          <c:txPr>
            <a:bodyPr rot="0" spcFirstLastPara="1" vertOverflow="ellipsis" vert="horz" wrap="square" lIns="38100" tIns="19050" rIns="38100" bIns="19050" anchor="ctr" anchorCtr="1">
              <a:spAutoFit/>
            </a:bodyPr>
            <a:lstStyle/>
            <a:p>
              <a:pPr>
                <a:defRPr sz="35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Lst>
        </c:dLbl>
      </c:pivotFmt>
      <c:pivotFmt>
        <c:idx val="5"/>
        <c:spPr>
          <a:solidFill>
            <a:schemeClr val="tx2">
              <a:lumMod val="75000"/>
              <a:alpha val="80000"/>
            </a:schemeClr>
          </a:solidFill>
          <a:ln>
            <a:noFill/>
          </a:ln>
          <a:effectLst/>
        </c:spPr>
        <c:dLbl>
          <c:idx val="0"/>
          <c:tx>
            <c:rich>
              <a:bodyPr rot="0" spcFirstLastPara="1" vertOverflow="ellipsis" vert="horz" wrap="square" lIns="38100" tIns="19050" rIns="38100" bIns="19050" anchor="ctr" anchorCtr="1">
                <a:spAutoFit/>
              </a:bodyPr>
              <a:lstStyle/>
              <a:p>
                <a:pPr>
                  <a:defRPr sz="3500" b="1" i="0" u="none" strike="noStrike" kern="1200" baseline="0">
                    <a:solidFill>
                      <a:schemeClr val="tx1">
                        <a:lumMod val="75000"/>
                        <a:lumOff val="25000"/>
                      </a:schemeClr>
                    </a:solidFill>
                    <a:latin typeface="+mn-lt"/>
                    <a:ea typeface="+mn-ea"/>
                    <a:cs typeface="+mn-cs"/>
                  </a:defRPr>
                </a:pPr>
                <a:fld id="{07B2D63B-0DE2-4CE0-9D2F-2E683BE3BADB}" type="VALUE">
                  <a:rPr lang="en-US">
                    <a:solidFill>
                      <a:sysClr val="windowText" lastClr="000000"/>
                    </a:solidFill>
                  </a:rPr>
                  <a:pPr>
                    <a:defRPr sz="3500" b="1"/>
                  </a:pPr>
                  <a:t>[VALUE]</a:t>
                </a:fld>
                <a:endParaRPr lang="en-US"/>
              </a:p>
            </c:rich>
          </c:tx>
          <c:numFmt formatCode="&quot;$&quot;#,##0.0000" sourceLinked="0"/>
          <c:spPr>
            <a:solidFill>
              <a:schemeClr val="bg1">
                <a:lumMod val="85000"/>
                <a:alpha val="65000"/>
              </a:schemeClr>
            </a:solidFill>
            <a:ln>
              <a:noFill/>
            </a:ln>
            <a:effectLst/>
          </c:spPr>
          <c:txPr>
            <a:bodyPr rot="0" spcFirstLastPara="1" vertOverflow="ellipsis" vert="horz" wrap="square" lIns="38100" tIns="19050" rIns="38100" bIns="19050" anchor="ctr" anchorCtr="1">
              <a:spAutoFit/>
            </a:bodyPr>
            <a:lstStyle/>
            <a:p>
              <a:pPr>
                <a:defRPr sz="35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dlblFieldTable/>
              <c15:showDataLabelsRange val="0"/>
            </c:ext>
          </c:extLst>
        </c:dLbl>
      </c:pivotFmt>
      <c:pivotFmt>
        <c:idx val="6"/>
        <c:spPr>
          <a:solidFill>
            <a:schemeClr val="tx2">
              <a:lumMod val="75000"/>
            </a:schemeClr>
          </a:solidFill>
          <a:ln>
            <a:noFill/>
          </a:ln>
          <a:effectLst/>
        </c:spPr>
        <c:dLbl>
          <c:idx val="0"/>
          <c:tx>
            <c:rich>
              <a:bodyPr rot="0" spcFirstLastPara="1" vertOverflow="ellipsis" vert="horz" wrap="square" lIns="38100" tIns="19050" rIns="38100" bIns="19050" anchor="ctr" anchorCtr="1">
                <a:spAutoFit/>
              </a:bodyPr>
              <a:lstStyle/>
              <a:p>
                <a:pPr>
                  <a:defRPr sz="3500" b="1" i="0" u="none" strike="noStrike" kern="1200" baseline="0">
                    <a:solidFill>
                      <a:schemeClr val="tx1">
                        <a:lumMod val="75000"/>
                        <a:lumOff val="25000"/>
                      </a:schemeClr>
                    </a:solidFill>
                    <a:latin typeface="+mn-lt"/>
                    <a:ea typeface="+mn-ea"/>
                    <a:cs typeface="+mn-cs"/>
                  </a:defRPr>
                </a:pPr>
                <a:fld id="{54119830-465D-4485-B405-5D174B814E24}" type="VALUE">
                  <a:rPr lang="en-US">
                    <a:solidFill>
                      <a:sysClr val="windowText" lastClr="000000"/>
                    </a:solidFill>
                  </a:rPr>
                  <a:pPr>
                    <a:defRPr sz="3500" b="1"/>
                  </a:pPr>
                  <a:t>[VALUE]</a:t>
                </a:fld>
                <a:endParaRPr lang="en-US"/>
              </a:p>
            </c:rich>
          </c:tx>
          <c:numFmt formatCode="&quot;$&quot;#,##0.0000" sourceLinked="0"/>
          <c:spPr>
            <a:solidFill>
              <a:schemeClr val="bg1">
                <a:lumMod val="85000"/>
                <a:alpha val="65000"/>
              </a:schemeClr>
            </a:solidFill>
            <a:ln>
              <a:noFill/>
            </a:ln>
            <a:effectLst/>
          </c:spPr>
          <c:txPr>
            <a:bodyPr rot="0" spcFirstLastPara="1" vertOverflow="ellipsis" vert="horz" wrap="square" lIns="38100" tIns="19050" rIns="38100" bIns="19050" anchor="ctr" anchorCtr="1">
              <a:spAutoFit/>
            </a:bodyPr>
            <a:lstStyle/>
            <a:p>
              <a:pPr>
                <a:defRPr sz="35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dlblFieldTable/>
              <c15:showDataLabelsRange val="0"/>
            </c:ext>
          </c:extLst>
        </c:dLbl>
      </c:pivotFmt>
      <c:pivotFmt>
        <c:idx val="7"/>
        <c:spPr>
          <a:solidFill>
            <a:schemeClr val="tx2">
              <a:lumMod val="75000"/>
            </a:schemeClr>
          </a:solidFill>
          <a:ln>
            <a:noFill/>
          </a:ln>
          <a:effectLst/>
        </c:spPr>
        <c:dLbl>
          <c:idx val="0"/>
          <c:tx>
            <c:rich>
              <a:bodyPr rot="0" spcFirstLastPara="1" vertOverflow="ellipsis" vert="horz" wrap="square" lIns="38100" tIns="19050" rIns="38100" bIns="19050" anchor="ctr" anchorCtr="1">
                <a:spAutoFit/>
              </a:bodyPr>
              <a:lstStyle/>
              <a:p>
                <a:pPr>
                  <a:defRPr sz="3500" b="1" i="0" u="none" strike="noStrike" kern="1200" baseline="0">
                    <a:solidFill>
                      <a:schemeClr val="tx1">
                        <a:lumMod val="75000"/>
                        <a:lumOff val="25000"/>
                      </a:schemeClr>
                    </a:solidFill>
                    <a:latin typeface="+mn-lt"/>
                    <a:ea typeface="+mn-ea"/>
                    <a:cs typeface="+mn-cs"/>
                  </a:defRPr>
                </a:pPr>
                <a:fld id="{B945C92F-F828-4DAC-ADF3-F314F79A0EEF}" type="VALUE">
                  <a:rPr lang="en-US">
                    <a:solidFill>
                      <a:sysClr val="windowText" lastClr="000000"/>
                    </a:solidFill>
                  </a:rPr>
                  <a:pPr>
                    <a:defRPr sz="3500" b="1"/>
                  </a:pPr>
                  <a:t>[VALUE]</a:t>
                </a:fld>
                <a:endParaRPr lang="en-US"/>
              </a:p>
            </c:rich>
          </c:tx>
          <c:numFmt formatCode="&quot;$&quot;#,##0.0000" sourceLinked="0"/>
          <c:spPr>
            <a:solidFill>
              <a:schemeClr val="bg1">
                <a:lumMod val="85000"/>
                <a:alpha val="65000"/>
              </a:schemeClr>
            </a:solidFill>
            <a:ln>
              <a:noFill/>
            </a:ln>
            <a:effectLst/>
          </c:spPr>
          <c:txPr>
            <a:bodyPr rot="0" spcFirstLastPara="1" vertOverflow="ellipsis" vert="horz" wrap="square" lIns="38100" tIns="19050" rIns="38100" bIns="19050" anchor="ctr" anchorCtr="1">
              <a:spAutoFit/>
            </a:bodyPr>
            <a:lstStyle/>
            <a:p>
              <a:pPr>
                <a:defRPr sz="35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dlblFieldTable/>
              <c15:showDataLabelsRange val="0"/>
            </c:ext>
          </c:extLst>
        </c:dLbl>
      </c:pivotFmt>
      <c:pivotFmt>
        <c:idx val="8"/>
        <c:spPr>
          <a:solidFill>
            <a:schemeClr val="tx2">
              <a:lumMod val="75000"/>
            </a:schemeClr>
          </a:solidFill>
          <a:ln>
            <a:noFill/>
          </a:ln>
          <a:effectLst/>
        </c:spPr>
        <c:dLbl>
          <c:idx val="0"/>
          <c:tx>
            <c:rich>
              <a:bodyPr rot="0" spcFirstLastPara="1" vertOverflow="ellipsis" vert="horz" wrap="square" lIns="38100" tIns="19050" rIns="38100" bIns="19050" anchor="ctr" anchorCtr="1">
                <a:spAutoFit/>
              </a:bodyPr>
              <a:lstStyle/>
              <a:p>
                <a:pPr>
                  <a:defRPr sz="3500" b="1" i="0" u="none" strike="noStrike" kern="1200" baseline="0">
                    <a:solidFill>
                      <a:schemeClr val="tx1">
                        <a:lumMod val="75000"/>
                        <a:lumOff val="25000"/>
                      </a:schemeClr>
                    </a:solidFill>
                    <a:latin typeface="+mn-lt"/>
                    <a:ea typeface="+mn-ea"/>
                    <a:cs typeface="+mn-cs"/>
                  </a:defRPr>
                </a:pPr>
                <a:fld id="{B08B1E2A-4B5D-4093-8BBC-082DF5EFB178}" type="VALUE">
                  <a:rPr lang="en-US">
                    <a:solidFill>
                      <a:sysClr val="windowText" lastClr="000000"/>
                    </a:solidFill>
                  </a:rPr>
                  <a:pPr>
                    <a:defRPr sz="3500" b="1"/>
                  </a:pPr>
                  <a:t>[VALUE]</a:t>
                </a:fld>
                <a:endParaRPr lang="en-US"/>
              </a:p>
            </c:rich>
          </c:tx>
          <c:numFmt formatCode="&quot;$&quot;#,##0.0000" sourceLinked="0"/>
          <c:spPr>
            <a:solidFill>
              <a:schemeClr val="bg1">
                <a:lumMod val="85000"/>
                <a:alpha val="65000"/>
              </a:schemeClr>
            </a:solidFill>
            <a:ln>
              <a:noFill/>
            </a:ln>
            <a:effectLst/>
          </c:spPr>
          <c:txPr>
            <a:bodyPr rot="0" spcFirstLastPara="1" vertOverflow="ellipsis" vert="horz" wrap="square" lIns="38100" tIns="19050" rIns="38100" bIns="19050" anchor="ctr" anchorCtr="1">
              <a:spAutoFit/>
            </a:bodyPr>
            <a:lstStyle/>
            <a:p>
              <a:pPr>
                <a:defRPr sz="35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dlblFieldTable/>
              <c15:showDataLabelsRange val="0"/>
            </c:ext>
          </c:extLst>
        </c:dLbl>
      </c:pivotFmt>
      <c:pivotFmt>
        <c:idx val="9"/>
        <c:spPr>
          <a:solidFill>
            <a:schemeClr val="tx2">
              <a:lumMod val="75000"/>
            </a:schemeClr>
          </a:solidFill>
          <a:ln>
            <a:noFill/>
          </a:ln>
          <a:effectLst/>
        </c:spPr>
        <c:dLbl>
          <c:idx val="0"/>
          <c:tx>
            <c:rich>
              <a:bodyPr rot="0" spcFirstLastPara="1" vertOverflow="ellipsis" vert="horz" wrap="square" lIns="38100" tIns="19050" rIns="38100" bIns="19050" anchor="ctr" anchorCtr="1">
                <a:spAutoFit/>
              </a:bodyPr>
              <a:lstStyle/>
              <a:p>
                <a:pPr>
                  <a:defRPr sz="3500" b="1" i="0" u="none" strike="noStrike" kern="1200" baseline="0">
                    <a:solidFill>
                      <a:schemeClr val="tx1">
                        <a:lumMod val="75000"/>
                        <a:lumOff val="25000"/>
                      </a:schemeClr>
                    </a:solidFill>
                    <a:latin typeface="+mn-lt"/>
                    <a:ea typeface="+mn-ea"/>
                    <a:cs typeface="+mn-cs"/>
                  </a:defRPr>
                </a:pPr>
                <a:fld id="{6EC60461-D359-459B-90B0-F3CA471CB551}" type="VALUE">
                  <a:rPr lang="en-US">
                    <a:solidFill>
                      <a:sysClr val="windowText" lastClr="000000"/>
                    </a:solidFill>
                  </a:rPr>
                  <a:pPr>
                    <a:defRPr sz="3500" b="1"/>
                  </a:pPr>
                  <a:t>[VALUE]</a:t>
                </a:fld>
                <a:endParaRPr lang="en-US"/>
              </a:p>
            </c:rich>
          </c:tx>
          <c:numFmt formatCode="&quot;$&quot;#,##0.0000" sourceLinked="0"/>
          <c:spPr>
            <a:solidFill>
              <a:schemeClr val="bg1">
                <a:lumMod val="85000"/>
                <a:alpha val="65000"/>
              </a:schemeClr>
            </a:solidFill>
            <a:ln>
              <a:noFill/>
            </a:ln>
            <a:effectLst/>
          </c:spPr>
          <c:txPr>
            <a:bodyPr rot="0" spcFirstLastPara="1" vertOverflow="ellipsis" vert="horz" wrap="square" lIns="38100" tIns="19050" rIns="38100" bIns="19050" anchor="ctr" anchorCtr="1">
              <a:spAutoFit/>
            </a:bodyPr>
            <a:lstStyle/>
            <a:p>
              <a:pPr>
                <a:defRPr sz="35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15:dlblFieldTable/>
              <c15:showDataLabelsRange val="0"/>
            </c:ext>
          </c:extLst>
        </c:dLbl>
      </c:pivotFmt>
    </c:pivotFmts>
    <c:plotArea>
      <c:layout>
        <c:manualLayout>
          <c:layoutTarget val="inner"/>
          <c:xMode val="edge"/>
          <c:yMode val="edge"/>
          <c:x val="7.0887392373592081E-2"/>
          <c:y val="0.11971720842586984"/>
          <c:w val="0.9291126076264079"/>
          <c:h val="0.65460838549027522"/>
        </c:manualLayout>
      </c:layout>
      <c:barChart>
        <c:barDir val="col"/>
        <c:grouping val="clustered"/>
        <c:varyColors val="0"/>
        <c:ser>
          <c:idx val="0"/>
          <c:order val="0"/>
          <c:tx>
            <c:strRef>
              <c:f>Data!$H$111</c:f>
              <c:strCache>
                <c:ptCount val="1"/>
                <c:pt idx="0">
                  <c:v>Total</c:v>
                </c:pt>
              </c:strCache>
            </c:strRef>
          </c:tx>
          <c:spPr>
            <a:solidFill>
              <a:schemeClr val="tx2">
                <a:lumMod val="75000"/>
              </a:schemeClr>
            </a:solidFill>
            <a:ln>
              <a:noFill/>
            </a:ln>
            <a:effectLst/>
          </c:spPr>
          <c:invertIfNegative val="0"/>
          <c:dPt>
            <c:idx val="0"/>
            <c:invertIfNegative val="0"/>
            <c:bubble3D val="0"/>
            <c:spPr>
              <a:solidFill>
                <a:schemeClr val="tx2">
                  <a:lumMod val="75000"/>
                  <a:alpha val="80000"/>
                </a:schemeClr>
              </a:solidFill>
              <a:ln>
                <a:noFill/>
              </a:ln>
              <a:effectLst/>
            </c:spPr>
            <c:extLst>
              <c:ext xmlns:c16="http://schemas.microsoft.com/office/drawing/2014/chart" uri="{C3380CC4-5D6E-409C-BE32-E72D297353CC}">
                <c16:uniqueId val="{00000001-92F7-48A6-A3F3-3967C0F92AAD}"/>
              </c:ext>
            </c:extLst>
          </c:dPt>
          <c:dPt>
            <c:idx val="1"/>
            <c:invertIfNegative val="0"/>
            <c:bubble3D val="0"/>
            <c:spPr>
              <a:solidFill>
                <a:schemeClr val="tx2">
                  <a:lumMod val="75000"/>
                </a:schemeClr>
              </a:solidFill>
              <a:ln>
                <a:noFill/>
              </a:ln>
              <a:effectLst/>
            </c:spPr>
            <c:extLst>
              <c:ext xmlns:c16="http://schemas.microsoft.com/office/drawing/2014/chart" uri="{C3380CC4-5D6E-409C-BE32-E72D297353CC}">
                <c16:uniqueId val="{00000003-92F7-48A6-A3F3-3967C0F92AAD}"/>
              </c:ext>
            </c:extLst>
          </c:dPt>
          <c:dPt>
            <c:idx val="2"/>
            <c:invertIfNegative val="0"/>
            <c:bubble3D val="0"/>
            <c:spPr>
              <a:solidFill>
                <a:schemeClr val="tx2">
                  <a:lumMod val="75000"/>
                </a:schemeClr>
              </a:solidFill>
              <a:ln>
                <a:noFill/>
              </a:ln>
              <a:effectLst/>
            </c:spPr>
            <c:extLst>
              <c:ext xmlns:c16="http://schemas.microsoft.com/office/drawing/2014/chart" uri="{C3380CC4-5D6E-409C-BE32-E72D297353CC}">
                <c16:uniqueId val="{00000005-92F7-48A6-A3F3-3967C0F92AAD}"/>
              </c:ext>
            </c:extLst>
          </c:dPt>
          <c:dPt>
            <c:idx val="3"/>
            <c:invertIfNegative val="0"/>
            <c:bubble3D val="0"/>
            <c:spPr>
              <a:solidFill>
                <a:schemeClr val="tx2">
                  <a:lumMod val="75000"/>
                </a:schemeClr>
              </a:solidFill>
              <a:ln>
                <a:noFill/>
              </a:ln>
              <a:effectLst/>
            </c:spPr>
            <c:extLst>
              <c:ext xmlns:c16="http://schemas.microsoft.com/office/drawing/2014/chart" uri="{C3380CC4-5D6E-409C-BE32-E72D297353CC}">
                <c16:uniqueId val="{00000007-92F7-48A6-A3F3-3967C0F92AAD}"/>
              </c:ext>
            </c:extLst>
          </c:dPt>
          <c:dPt>
            <c:idx val="4"/>
            <c:invertIfNegative val="0"/>
            <c:bubble3D val="0"/>
            <c:spPr>
              <a:solidFill>
                <a:schemeClr val="tx2">
                  <a:lumMod val="75000"/>
                </a:schemeClr>
              </a:solidFill>
              <a:ln>
                <a:noFill/>
              </a:ln>
              <a:effectLst/>
            </c:spPr>
            <c:extLst>
              <c:ext xmlns:c16="http://schemas.microsoft.com/office/drawing/2014/chart" uri="{C3380CC4-5D6E-409C-BE32-E72D297353CC}">
                <c16:uniqueId val="{00000009-92F7-48A6-A3F3-3967C0F92AAD}"/>
              </c:ext>
            </c:extLst>
          </c:dPt>
          <c:dLbls>
            <c:dLbl>
              <c:idx val="0"/>
              <c:tx>
                <c:rich>
                  <a:bodyPr/>
                  <a:lstStyle/>
                  <a:p>
                    <a:fld id="{07B2D63B-0DE2-4CE0-9D2F-2E683BE3BADB}" type="VALUE">
                      <a:rPr lang="en-US">
                        <a:solidFill>
                          <a:sysClr val="windowText" lastClr="000000"/>
                        </a:solidFill>
                      </a:rPr>
                      <a:pPr/>
                      <a:t>[VALUE]</a:t>
                    </a:fld>
                    <a:endParaRPr lang="en-US"/>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92F7-48A6-A3F3-3967C0F92AAD}"/>
                </c:ext>
              </c:extLst>
            </c:dLbl>
            <c:dLbl>
              <c:idx val="1"/>
              <c:tx>
                <c:rich>
                  <a:bodyPr/>
                  <a:lstStyle/>
                  <a:p>
                    <a:fld id="{54119830-465D-4485-B405-5D174B814E24}" type="VALUE">
                      <a:rPr lang="en-US">
                        <a:solidFill>
                          <a:sysClr val="windowText" lastClr="000000"/>
                        </a:solidFill>
                      </a:rPr>
                      <a:pPr/>
                      <a:t>[VALUE]</a:t>
                    </a:fld>
                    <a:endParaRPr lang="en-US"/>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92F7-48A6-A3F3-3967C0F92AAD}"/>
                </c:ext>
              </c:extLst>
            </c:dLbl>
            <c:dLbl>
              <c:idx val="2"/>
              <c:tx>
                <c:rich>
                  <a:bodyPr/>
                  <a:lstStyle/>
                  <a:p>
                    <a:fld id="{B945C92F-F828-4DAC-ADF3-F314F79A0EEF}" type="VALUE">
                      <a:rPr lang="en-US">
                        <a:solidFill>
                          <a:sysClr val="windowText" lastClr="000000"/>
                        </a:solidFill>
                      </a:rPr>
                      <a:pPr/>
                      <a:t>[VALUE]</a:t>
                    </a:fld>
                    <a:endParaRPr lang="en-US"/>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92F7-48A6-A3F3-3967C0F92AAD}"/>
                </c:ext>
              </c:extLst>
            </c:dLbl>
            <c:dLbl>
              <c:idx val="3"/>
              <c:tx>
                <c:rich>
                  <a:bodyPr/>
                  <a:lstStyle/>
                  <a:p>
                    <a:fld id="{B08B1E2A-4B5D-4093-8BBC-082DF5EFB178}" type="VALUE">
                      <a:rPr lang="en-US">
                        <a:solidFill>
                          <a:sysClr val="windowText" lastClr="000000"/>
                        </a:solidFill>
                      </a:rPr>
                      <a:pPr/>
                      <a:t>[VALUE]</a:t>
                    </a:fld>
                    <a:endParaRPr lang="en-US"/>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92F7-48A6-A3F3-3967C0F92AAD}"/>
                </c:ext>
              </c:extLst>
            </c:dLbl>
            <c:dLbl>
              <c:idx val="4"/>
              <c:tx>
                <c:rich>
                  <a:bodyPr/>
                  <a:lstStyle/>
                  <a:p>
                    <a:fld id="{6EC60461-D359-459B-90B0-F3CA471CB551}" type="VALUE">
                      <a:rPr lang="en-US">
                        <a:solidFill>
                          <a:sysClr val="windowText" lastClr="000000"/>
                        </a:solidFill>
                      </a:rPr>
                      <a:pPr/>
                      <a:t>[VALUE]</a:t>
                    </a:fld>
                    <a:endParaRPr lang="en-US"/>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9-92F7-48A6-A3F3-3967C0F92AAD}"/>
                </c:ext>
              </c:extLst>
            </c:dLbl>
            <c:numFmt formatCode="&quot;$&quot;#,##0.0000" sourceLinked="0"/>
            <c:spPr>
              <a:solidFill>
                <a:schemeClr val="bg1">
                  <a:lumMod val="85000"/>
                  <a:alpha val="65000"/>
                </a:schemeClr>
              </a:solidFill>
              <a:ln>
                <a:noFill/>
              </a:ln>
              <a:effectLst/>
            </c:spPr>
            <c:txPr>
              <a:bodyPr rot="0" spcFirstLastPara="1" vertOverflow="ellipsis" vert="horz" wrap="square" lIns="38100" tIns="19050" rIns="38100" bIns="19050" anchor="ctr" anchorCtr="1">
                <a:spAutoFit/>
              </a:bodyPr>
              <a:lstStyle/>
              <a:p>
                <a:pPr>
                  <a:defRPr sz="35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Data!$G$112:$G$117</c:f>
              <c:strCache>
                <c:ptCount val="5"/>
                <c:pt idx="0">
                  <c:v>Cash </c:v>
                </c:pt>
                <c:pt idx="1">
                  <c:v>Imprest Cash</c:v>
                </c:pt>
                <c:pt idx="2">
                  <c:v>Investments In Lieu Of Cash</c:v>
                </c:pt>
                <c:pt idx="3">
                  <c:v>Restricted Cash</c:v>
                </c:pt>
                <c:pt idx="4">
                  <c:v>Cash With Fiscal Agent</c:v>
                </c:pt>
              </c:strCache>
            </c:strRef>
          </c:cat>
          <c:val>
            <c:numRef>
              <c:f>Data!$H$112:$H$117</c:f>
              <c:numCache>
                <c:formatCode>_(* #,##0_);_(* \(#,##0\);_(* "-"??_);_(@_)</c:formatCode>
                <c:ptCount val="5"/>
                <c:pt idx="0">
                  <c:v>16806604550.27002</c:v>
                </c:pt>
                <c:pt idx="1">
                  <c:v>715505</c:v>
                </c:pt>
                <c:pt idx="2">
                  <c:v>986080</c:v>
                </c:pt>
                <c:pt idx="3">
                  <c:v>106898633.97</c:v>
                </c:pt>
                <c:pt idx="4">
                  <c:v>179847909.87</c:v>
                </c:pt>
              </c:numCache>
            </c:numRef>
          </c:val>
          <c:extLst>
            <c:ext xmlns:c16="http://schemas.microsoft.com/office/drawing/2014/chart" uri="{C3380CC4-5D6E-409C-BE32-E72D297353CC}">
              <c16:uniqueId val="{0000000A-FEDC-4DD4-8368-4702A8B9A120}"/>
            </c:ext>
          </c:extLst>
        </c:ser>
        <c:dLbls>
          <c:showLegendKey val="0"/>
          <c:showVal val="0"/>
          <c:showCatName val="0"/>
          <c:showSerName val="0"/>
          <c:showPercent val="0"/>
          <c:showBubbleSize val="0"/>
        </c:dLbls>
        <c:gapWidth val="219"/>
        <c:axId val="679795160"/>
        <c:axId val="679800080"/>
      </c:barChart>
      <c:catAx>
        <c:axId val="6797951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3600" b="0" i="0" u="none" strike="noStrike" kern="1200" baseline="0">
                <a:solidFill>
                  <a:schemeClr val="bg1"/>
                </a:solidFill>
                <a:latin typeface="+mn-lt"/>
                <a:ea typeface="+mn-ea"/>
                <a:cs typeface="+mn-cs"/>
              </a:defRPr>
            </a:pPr>
            <a:endParaRPr lang="en-US"/>
          </a:p>
        </c:txPr>
        <c:crossAx val="679800080"/>
        <c:crossesAt val="0"/>
        <c:auto val="1"/>
        <c:lblAlgn val="ctr"/>
        <c:lblOffset val="100"/>
        <c:noMultiLvlLbl val="0"/>
      </c:catAx>
      <c:valAx>
        <c:axId val="679800080"/>
        <c:scaling>
          <c:orientation val="minMax"/>
        </c:scaling>
        <c:delete val="0"/>
        <c:axPos val="l"/>
        <c:majorGridlines>
          <c:spPr>
            <a:ln w="9525" cap="flat" cmpd="thickThin" algn="ctr">
              <a:solidFill>
                <a:schemeClr val="bg2">
                  <a:lumMod val="90000"/>
                </a:schemeClr>
              </a:solidFill>
              <a:round/>
            </a:ln>
            <a:effectLst/>
          </c:spPr>
        </c:majorGridlines>
        <c:minorGridlines>
          <c:spPr>
            <a:ln w="9525" cap="flat" cmpd="sng" algn="ctr">
              <a:noFill/>
              <a:round/>
            </a:ln>
            <a:effectLst/>
          </c:spPr>
        </c:minorGridlines>
        <c:numFmt formatCode="_(&quot;$&quot;* #,##0_);_(&quot;$&quot;* \(#,##0\);_(&quot;$&quot;* &quot;-&quot;_);_(@_)" sourceLinked="0"/>
        <c:majorTickMark val="out"/>
        <c:minorTickMark val="none"/>
        <c:tickLblPos val="low"/>
        <c:spPr>
          <a:noFill/>
          <a:ln>
            <a:solidFill>
              <a:schemeClr val="bg1">
                <a:alpha val="99000"/>
              </a:schemeClr>
            </a:solidFill>
          </a:ln>
          <a:effectLst/>
        </c:spPr>
        <c:txPr>
          <a:bodyPr rot="-60000000" spcFirstLastPara="1" vertOverflow="ellipsis" vert="horz" wrap="square" anchor="ctr" anchorCtr="1"/>
          <a:lstStyle/>
          <a:p>
            <a:pPr>
              <a:defRPr sz="3000" b="0" i="0" u="none" strike="noStrike" kern="1200" baseline="0">
                <a:solidFill>
                  <a:schemeClr val="bg1"/>
                </a:solidFill>
                <a:latin typeface="+mn-lt"/>
                <a:ea typeface="+mn-ea"/>
                <a:cs typeface="+mn-cs"/>
              </a:defRPr>
            </a:pPr>
            <a:endParaRPr lang="en-US"/>
          </a:p>
        </c:txPr>
        <c:crossAx val="679795160"/>
        <c:crosses val="autoZero"/>
        <c:crossBetween val="between"/>
        <c:majorUnit val="3000000000"/>
        <c:dispUnits>
          <c:builtInUnit val="billions"/>
          <c:dispUnitsLbl>
            <c:layout>
              <c:manualLayout>
                <c:xMode val="edge"/>
                <c:yMode val="edge"/>
                <c:x val="3.2348271249396463E-3"/>
                <c:y val="0.35962971936200283"/>
              </c:manualLayout>
            </c:layout>
            <c:tx>
              <c:rich>
                <a:bodyPr rot="-5400000" spcFirstLastPara="1" vertOverflow="ellipsis" vert="horz" wrap="square" anchor="ctr" anchorCtr="1"/>
                <a:lstStyle/>
                <a:p>
                  <a:pPr>
                    <a:defRPr sz="3600" b="0" i="0" u="none" strike="noStrike" kern="1200" baseline="0">
                      <a:solidFill>
                        <a:schemeClr val="bg1"/>
                      </a:solidFill>
                      <a:latin typeface="+mn-lt"/>
                      <a:ea typeface="+mn-ea"/>
                      <a:cs typeface="+mn-cs"/>
                    </a:defRPr>
                  </a:pPr>
                  <a:r>
                    <a:rPr lang="en-US" sz="4200" baseline="0">
                      <a:solidFill>
                        <a:schemeClr val="bg1"/>
                      </a:solidFill>
                    </a:rPr>
                    <a:t>Billions</a:t>
                  </a:r>
                </a:p>
              </c:rich>
            </c:tx>
            <c:spPr>
              <a:noFill/>
              <a:ln>
                <a:noFill/>
              </a:ln>
              <a:effectLst/>
            </c:spPr>
            <c:txPr>
              <a:bodyPr rot="-5400000" spcFirstLastPara="1" vertOverflow="ellipsis" vert="horz" wrap="square" anchor="ctr" anchorCtr="1"/>
              <a:lstStyle/>
              <a:p>
                <a:pPr>
                  <a:defRPr sz="3600" b="0" i="0" u="none" strike="noStrike" kern="1200" baseline="0">
                    <a:solidFill>
                      <a:schemeClr val="bg1"/>
                    </a:solidFill>
                    <a:latin typeface="+mn-lt"/>
                    <a:ea typeface="+mn-ea"/>
                    <a:cs typeface="+mn-cs"/>
                  </a:defRPr>
                </a:pPr>
                <a:endParaRPr lang="en-US"/>
              </a:p>
            </c:txPr>
          </c:dispUnitsLbl>
        </c:dispUnits>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blipFill>
      <a:blip xmlns:r="http://schemas.openxmlformats.org/officeDocument/2006/relationships" r:embed="rId3"/>
      <a:stretch>
        <a:fillRect/>
      </a:stretch>
    </a:blipFill>
    <a:ln w="9525" cap="sq" cmpd="sng" algn="ctr">
      <a:solidFill>
        <a:srgbClr val="0033CC"/>
      </a:solidFill>
      <a:round/>
    </a:ln>
    <a:effectLst/>
  </c:spPr>
  <c:txPr>
    <a:bodyPr/>
    <a:lstStyle/>
    <a:p>
      <a:pPr>
        <a:defRPr/>
      </a:pPr>
      <a:endParaRPr lang="en-US"/>
    </a:p>
  </c:txPr>
  <c:printSettings>
    <c:headerFooter/>
    <c:pageMargins b="0.75" l="0.7" r="0.7" t="0.75" header="0.3" footer="0.3"/>
    <c:pageSetup orientation="portrait"/>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7"/>
    </mc:Choice>
    <mc:Fallback>
      <c:style val="7"/>
    </mc:Fallback>
  </mc:AlternateContent>
  <c:pivotSource>
    <c:name>[General Fund Daily Cash Balance.xlsx]Data!PivotTable10</c:name>
    <c:fmtId val="9"/>
  </c:pivotSource>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sz="4800"/>
              <a:t>General Fund Cash Balance</a:t>
            </a:r>
          </a:p>
        </c:rich>
      </c:tx>
      <c:layout>
        <c:manualLayout>
          <c:xMode val="edge"/>
          <c:yMode val="edge"/>
          <c:x val="0.19680700266002105"/>
          <c:y val="1.1267229320885777E-3"/>
        </c:manualLayout>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3"/>
        <c:dLbl>
          <c:idx val="0"/>
          <c:layout>
            <c:manualLayout>
              <c:x val="1.7113661397639517E-2"/>
              <c:y val="-0.42476404725173755"/>
            </c:manualLayout>
          </c:layout>
          <c:tx>
            <c:rich>
              <a:bodyPr/>
              <a:lstStyle/>
              <a:p>
                <a:fld id="{292583B6-C817-4400-927B-37B782C4DB5D}" type="VALUE">
                  <a:rPr lang="en-US" sz="5800" b="1"/>
                  <a:pPr/>
                  <a:t>[VALUE]</a:t>
                </a:fld>
                <a:endParaRPr lang="en-US"/>
              </a:p>
            </c:rich>
          </c:tx>
          <c:dLblPos val="bestFit"/>
          <c:showLegendKey val="0"/>
          <c:showVal val="1"/>
          <c:showCatName val="0"/>
          <c:showSerName val="0"/>
          <c:showPercent val="0"/>
          <c:showBubbleSize val="0"/>
          <c:extLst>
            <c:ext xmlns:c15="http://schemas.microsoft.com/office/drawing/2012/chart" uri="{CE6537A1-D6FC-4f65-9D91-7224C49458BB}">
              <c15:layout>
                <c:manualLayout>
                  <c:w val="0.63004537530080007"/>
                  <c:h val="0.16371948902431455"/>
                </c:manualLayout>
              </c15:layout>
              <c15:dlblFieldTable/>
              <c15:showDataLabelsRange val="0"/>
            </c:ext>
          </c:extLst>
        </c:dLbl>
      </c:pivotFmt>
      <c:pivotFmt>
        <c:idx val="4"/>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5"/>
        <c:dLbl>
          <c:idx val="0"/>
          <c:layout>
            <c:manualLayout>
              <c:x val="1.7113661397639517E-2"/>
              <c:y val="-0.42476404725173755"/>
            </c:manualLayout>
          </c:layout>
          <c:tx>
            <c:rich>
              <a:bodyPr/>
              <a:lstStyle/>
              <a:p>
                <a:fld id="{292583B6-C817-4400-927B-37B782C4DB5D}" type="VALUE">
                  <a:rPr lang="en-US" sz="5800" b="1"/>
                  <a:pPr/>
                  <a:t>[VALUE]</a:t>
                </a:fld>
                <a:endParaRPr lang="en-US"/>
              </a:p>
            </c:rich>
          </c:tx>
          <c:dLblPos val="bestFit"/>
          <c:showLegendKey val="0"/>
          <c:showVal val="1"/>
          <c:showCatName val="0"/>
          <c:showSerName val="0"/>
          <c:showPercent val="0"/>
          <c:showBubbleSize val="0"/>
          <c:extLst>
            <c:ext xmlns:c15="http://schemas.microsoft.com/office/drawing/2012/chart" uri="{CE6537A1-D6FC-4f65-9D91-7224C49458BB}">
              <c15:layout>
                <c:manualLayout>
                  <c:w val="0.63004537530080007"/>
                  <c:h val="0.16371948902431455"/>
                </c:manualLayout>
              </c15:layout>
              <c15:dlblFieldTable/>
              <c15:showDataLabelsRange val="0"/>
            </c:ext>
          </c:extLst>
        </c:dLbl>
      </c:pivotFmt>
      <c:pivotFmt>
        <c:idx val="6"/>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7"/>
        <c:dLbl>
          <c:idx val="0"/>
          <c:layout>
            <c:manualLayout>
              <c:x val="1.7113661397639517E-2"/>
              <c:y val="-0.42476404725173755"/>
            </c:manualLayout>
          </c:layout>
          <c:tx>
            <c:rich>
              <a:bodyPr/>
              <a:lstStyle/>
              <a:p>
                <a:fld id="{292583B6-C817-4400-927B-37B782C4DB5D}" type="VALUE">
                  <a:rPr lang="en-US" sz="5800" b="1"/>
                  <a:pPr/>
                  <a:t>[VALUE]</a:t>
                </a:fld>
                <a:endParaRPr lang="en-US"/>
              </a:p>
            </c:rich>
          </c:tx>
          <c:dLblPos val="bestFit"/>
          <c:showLegendKey val="0"/>
          <c:showVal val="1"/>
          <c:showCatName val="0"/>
          <c:showSerName val="0"/>
          <c:showPercent val="0"/>
          <c:showBubbleSize val="0"/>
          <c:extLst>
            <c:ext xmlns:c15="http://schemas.microsoft.com/office/drawing/2012/chart" uri="{CE6537A1-D6FC-4f65-9D91-7224C49458BB}">
              <c15:layout>
                <c:manualLayout>
                  <c:w val="0.63004537530080007"/>
                  <c:h val="0.16371948902431455"/>
                </c:manualLayout>
              </c15:layout>
              <c15:dlblFieldTable/>
              <c15:showDataLabelsRange val="0"/>
            </c:ext>
          </c:extLst>
        </c:dLbl>
      </c:pivotFmt>
      <c:pivotFmt>
        <c:idx val="8"/>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9"/>
        <c:dLbl>
          <c:idx val="0"/>
          <c:layout>
            <c:manualLayout>
              <c:x val="1.7113661397639517E-2"/>
              <c:y val="-0.42476404725173755"/>
            </c:manualLayout>
          </c:layout>
          <c:tx>
            <c:rich>
              <a:bodyPr/>
              <a:lstStyle/>
              <a:p>
                <a:fld id="{292583B6-C817-4400-927B-37B782C4DB5D}" type="VALUE">
                  <a:rPr lang="en-US" sz="5800" b="1"/>
                  <a:pPr/>
                  <a:t>[VALUE]</a:t>
                </a:fld>
                <a:endParaRPr lang="en-US"/>
              </a:p>
            </c:rich>
          </c:tx>
          <c:dLblPos val="bestFit"/>
          <c:showLegendKey val="0"/>
          <c:showVal val="1"/>
          <c:showCatName val="0"/>
          <c:showSerName val="0"/>
          <c:showPercent val="0"/>
          <c:showBubbleSize val="0"/>
          <c:extLst>
            <c:ext xmlns:c15="http://schemas.microsoft.com/office/drawing/2012/chart" uri="{CE6537A1-D6FC-4f65-9D91-7224C49458BB}">
              <c15:layout>
                <c:manualLayout>
                  <c:w val="0.63004537530080007"/>
                  <c:h val="0.16371948902431455"/>
                </c:manualLayout>
              </c15:layout>
              <c15:dlblFieldTable/>
              <c15:showDataLabelsRange val="0"/>
            </c:ext>
          </c:extLst>
        </c:dLbl>
      </c:pivotFmt>
      <c:pivotFmt>
        <c:idx val="10"/>
        <c:spPr>
          <a:solidFill>
            <a:schemeClr val="tx2">
              <a:lumMod val="75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6000" b="0" i="0" u="none" strike="noStrike" kern="1200" baseline="0">
                  <a:solidFill>
                    <a:schemeClr val="tx2">
                      <a:lumMod val="75000"/>
                    </a:schemeClr>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11"/>
        <c:spPr>
          <a:solidFill>
            <a:schemeClr val="tx2">
              <a:lumMod val="75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
          <c:idx val="0"/>
          <c:layout>
            <c:manualLayout>
              <c:x val="-5.9853124420053555E-3"/>
              <c:y val="-0.41859760793373885"/>
            </c:manualLayout>
          </c:layout>
          <c:tx>
            <c:rich>
              <a:bodyPr rot="0" spcFirstLastPara="1" vertOverflow="ellipsis" vert="horz" wrap="square" lIns="38100" tIns="19050" rIns="38100" bIns="19050" anchor="ctr" anchorCtr="1">
                <a:spAutoFit/>
              </a:bodyPr>
              <a:lstStyle/>
              <a:p>
                <a:pPr>
                  <a:defRPr sz="6000" b="0" i="0" u="none" strike="noStrike" kern="1200" baseline="0">
                    <a:solidFill>
                      <a:schemeClr val="tx2">
                        <a:lumMod val="75000"/>
                      </a:schemeClr>
                    </a:solidFill>
                    <a:latin typeface="Arial" panose="020B0604020202020204" pitchFamily="34" charset="0"/>
                    <a:ea typeface="+mn-ea"/>
                    <a:cs typeface="Arial" panose="020B0604020202020204" pitchFamily="34" charset="0"/>
                  </a:defRPr>
                </a:pPr>
                <a:fld id="{241BBC4E-55A8-4C03-9610-238C40338E4A}" type="VALUE">
                  <a:rPr lang="en-US" sz="6000" b="1">
                    <a:solidFill>
                      <a:srgbClr val="CC9900"/>
                    </a:solidFill>
                    <a:latin typeface="Arial" panose="020B0604020202020204" pitchFamily="34" charset="0"/>
                    <a:cs typeface="Arial" panose="020B0604020202020204" pitchFamily="34" charset="0"/>
                  </a:rPr>
                  <a:pPr>
                    <a:defRPr sz="6000">
                      <a:solidFill>
                        <a:schemeClr val="tx2">
                          <a:lumMod val="75000"/>
                        </a:schemeClr>
                      </a:solidFill>
                      <a:latin typeface="Arial" panose="020B0604020202020204" pitchFamily="34" charset="0"/>
                      <a:cs typeface="Arial" panose="020B0604020202020204" pitchFamily="34" charset="0"/>
                    </a:defRPr>
                  </a:pPr>
                  <a:t>[VALUE]</a:t>
                </a:fld>
                <a:endParaRPr lang="en-US"/>
              </a:p>
            </c:rich>
          </c:tx>
          <c:spPr>
            <a:noFill/>
            <a:ln>
              <a:noFill/>
            </a:ln>
            <a:effectLst/>
          </c:spPr>
          <c:txPr>
            <a:bodyPr rot="0" spcFirstLastPara="1" vertOverflow="ellipsis" vert="horz" wrap="square" lIns="38100" tIns="19050" rIns="38100" bIns="19050" anchor="ctr" anchorCtr="1">
              <a:spAutoFit/>
            </a:bodyPr>
            <a:lstStyle/>
            <a:p>
              <a:pPr>
                <a:defRPr sz="6000" b="0" i="0" u="none" strike="noStrike" kern="1200" baseline="0">
                  <a:solidFill>
                    <a:schemeClr val="tx2">
                      <a:lumMod val="75000"/>
                    </a:schemeClr>
                  </a:solidFill>
                  <a:latin typeface="Arial" panose="020B0604020202020204" pitchFamily="34" charset="0"/>
                  <a:ea typeface="+mn-ea"/>
                  <a:cs typeface="Arial" panose="020B0604020202020204" pitchFamily="34" charset="0"/>
                </a:defRPr>
              </a:pPr>
              <a:endParaRPr lang="en-US"/>
            </a:p>
          </c:txPr>
          <c:dLblPos val="bestFit"/>
          <c:showLegendKey val="0"/>
          <c:showVal val="1"/>
          <c:showCatName val="0"/>
          <c:showSerName val="0"/>
          <c:showPercent val="0"/>
          <c:showBubbleSize val="0"/>
          <c:extLst>
            <c:ext xmlns:c15="http://schemas.microsoft.com/office/drawing/2012/chart" uri="{CE6537A1-D6FC-4f65-9D91-7224C49458BB}">
              <c15:layout>
                <c:manualLayout>
                  <c:w val="0.44682936097634263"/>
                  <c:h val="0.35126754365285179"/>
                </c:manualLayout>
              </c15:layout>
              <c15:dlblFieldTable/>
              <c15:showDataLabelsRange val="0"/>
            </c:ext>
          </c:extLst>
        </c:dLbl>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7.3560925196850396E-2"/>
          <c:y val="0.11336280671338099"/>
          <c:w val="0.87928668654216013"/>
          <c:h val="0.77165560033803715"/>
        </c:manualLayout>
      </c:layout>
      <c:pie3DChart>
        <c:varyColors val="1"/>
        <c:ser>
          <c:idx val="0"/>
          <c:order val="0"/>
          <c:tx>
            <c:strRef>
              <c:f>Data!$M$4</c:f>
              <c:strCache>
                <c:ptCount val="1"/>
                <c:pt idx="0">
                  <c:v>Total</c:v>
                </c:pt>
              </c:strCache>
            </c:strRef>
          </c:tx>
          <c:spPr>
            <a:solidFill>
              <a:schemeClr val="tx2">
                <a:lumMod val="75000"/>
              </a:schemeClr>
            </a:solidFill>
          </c:spPr>
          <c:dPt>
            <c:idx val="0"/>
            <c:bubble3D val="0"/>
            <c:spPr>
              <a:solidFill>
                <a:schemeClr val="tx2">
                  <a:lumMod val="75000"/>
                </a:schemeClr>
              </a:soli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FE94-49D3-A16C-597FC1C654F5}"/>
              </c:ext>
            </c:extLst>
          </c:dPt>
          <c:dLbls>
            <c:dLbl>
              <c:idx val="0"/>
              <c:layout>
                <c:manualLayout>
                  <c:x val="-5.9853124420053555E-3"/>
                  <c:y val="-0.41859760793373885"/>
                </c:manualLayout>
              </c:layout>
              <c:tx>
                <c:rich>
                  <a:bodyPr/>
                  <a:lstStyle/>
                  <a:p>
                    <a:fld id="{241BBC4E-55A8-4C03-9610-238C40338E4A}" type="VALUE">
                      <a:rPr lang="en-US" sz="6000" b="1">
                        <a:solidFill>
                          <a:srgbClr val="CC9900"/>
                        </a:solidFill>
                        <a:latin typeface="Arial" panose="020B0604020202020204" pitchFamily="34" charset="0"/>
                        <a:cs typeface="Arial" panose="020B0604020202020204" pitchFamily="34" charset="0"/>
                      </a:rPr>
                      <a:pPr/>
                      <a:t>[VALUE]</a:t>
                    </a:fld>
                    <a:endParaRPr lang="en-US"/>
                  </a:p>
                </c:rich>
              </c:tx>
              <c:dLblPos val="bestFit"/>
              <c:showLegendKey val="0"/>
              <c:showVal val="1"/>
              <c:showCatName val="0"/>
              <c:showSerName val="0"/>
              <c:showPercent val="0"/>
              <c:showBubbleSize val="0"/>
              <c:extLst>
                <c:ext xmlns:c15="http://schemas.microsoft.com/office/drawing/2012/chart" uri="{CE6537A1-D6FC-4f65-9D91-7224C49458BB}">
                  <c15:layout>
                    <c:manualLayout>
                      <c:w val="0.44682936097634263"/>
                      <c:h val="0.35126754365285179"/>
                    </c:manualLayout>
                  </c15:layout>
                  <c15:dlblFieldTable/>
                  <c15:showDataLabelsRange val="0"/>
                </c:ext>
                <c:ext xmlns:c16="http://schemas.microsoft.com/office/drawing/2014/chart" uri="{C3380CC4-5D6E-409C-BE32-E72D297353CC}">
                  <c16:uniqueId val="{00000001-FE94-49D3-A16C-597FC1C654F5}"/>
                </c:ext>
              </c:extLst>
            </c:dLbl>
            <c:spPr>
              <a:noFill/>
              <a:ln>
                <a:noFill/>
              </a:ln>
              <a:effectLst/>
            </c:spPr>
            <c:txPr>
              <a:bodyPr rot="0" spcFirstLastPara="1" vertOverflow="ellipsis" vert="horz" wrap="square" lIns="38100" tIns="19050" rIns="38100" bIns="19050" anchor="ctr" anchorCtr="1">
                <a:spAutoFit/>
              </a:bodyPr>
              <a:lstStyle/>
              <a:p>
                <a:pPr>
                  <a:defRPr sz="6000" b="0" i="0" u="none" strike="noStrike" kern="1200" baseline="0">
                    <a:solidFill>
                      <a:schemeClr val="tx2">
                        <a:lumMod val="75000"/>
                      </a:schemeClr>
                    </a:solidFill>
                    <a:latin typeface="Arial" panose="020B0604020202020204" pitchFamily="34" charset="0"/>
                    <a:ea typeface="+mn-ea"/>
                    <a:cs typeface="Arial" panose="020B0604020202020204" pitchFamily="34" charset="0"/>
                  </a:defRPr>
                </a:pPr>
                <a:endParaRPr lang="en-US"/>
              </a:p>
            </c:txPr>
            <c:dLblPos val="inEnd"/>
            <c:showLegendKey val="0"/>
            <c:showVal val="1"/>
            <c:showCatName val="0"/>
            <c:showSerName val="0"/>
            <c:showPercent val="0"/>
            <c:showBubbleSize val="0"/>
            <c:showLeaderLines val="1"/>
            <c:leaderLines>
              <c:spPr>
                <a:ln w="9525">
                  <a:solidFill>
                    <a:schemeClr val="lt1">
                      <a:lumMod val="95000"/>
                      <a:alpha val="54000"/>
                    </a:schemeClr>
                  </a:solidFill>
                </a:ln>
                <a:effectLst/>
              </c:spPr>
            </c:leaderLines>
            <c:extLst>
              <c:ext xmlns:c15="http://schemas.microsoft.com/office/drawing/2012/chart" uri="{CE6537A1-D6FC-4f65-9D91-7224C49458BB}"/>
            </c:extLst>
          </c:dLbls>
          <c:cat>
            <c:strRef>
              <c:f>Data!$L$5</c:f>
              <c:strCache>
                <c:ptCount val="1"/>
                <c:pt idx="0">
                  <c:v>7/27/26</c:v>
                </c:pt>
              </c:strCache>
            </c:strRef>
          </c:cat>
          <c:val>
            <c:numRef>
              <c:f>Data!$M$5</c:f>
              <c:numCache>
                <c:formatCode>_("$"* #,##0_);_("$"* \(#,##0\);_("$"* "-"??_);_(@_)</c:formatCode>
                <c:ptCount val="1"/>
                <c:pt idx="0">
                  <c:v>549801253.98499894</c:v>
                </c:pt>
              </c:numCache>
            </c:numRef>
          </c:val>
          <c:extLst>
            <c:ext xmlns:c16="http://schemas.microsoft.com/office/drawing/2014/chart" uri="{C3380CC4-5D6E-409C-BE32-E72D297353CC}">
              <c16:uniqueId val="{00000003-2D16-46EF-AE16-FC2884E79AEC}"/>
            </c:ext>
          </c:extLst>
        </c:ser>
        <c:dLbls>
          <c:dLblPos val="inEnd"/>
          <c:showLegendKey val="0"/>
          <c:showVal val="0"/>
          <c:showCatName val="0"/>
          <c:showSerName val="0"/>
          <c:showPercent val="1"/>
          <c:showBubbleSize val="0"/>
          <c:showLeaderLines val="1"/>
        </c:dLbls>
      </c:pie3DChart>
      <c:spPr>
        <a:noFill/>
        <a:ln>
          <a:noFill/>
        </a:ln>
        <a:effectLst/>
      </c:spPr>
    </c:plotArea>
    <c:legend>
      <c:legendPos val="b"/>
      <c:legendEntry>
        <c:idx val="0"/>
        <c:txPr>
          <a:bodyPr rot="0" spcFirstLastPara="1" vertOverflow="ellipsis" vert="horz" wrap="square" anchor="ctr" anchorCtr="1"/>
          <a:lstStyle/>
          <a:p>
            <a:pPr>
              <a:defRPr sz="4800" b="0" i="0" u="none" strike="noStrike" kern="1200" baseline="0">
                <a:solidFill>
                  <a:schemeClr val="lt1">
                    <a:lumMod val="85000"/>
                  </a:schemeClr>
                </a:solidFill>
                <a:latin typeface="+mn-lt"/>
                <a:ea typeface="+mn-ea"/>
                <a:cs typeface="+mn-cs"/>
              </a:defRPr>
            </a:pPr>
            <a:endParaRPr lang="en-US"/>
          </a:p>
        </c:txPr>
      </c:legendEntry>
      <c:layout>
        <c:manualLayout>
          <c:xMode val="edge"/>
          <c:yMode val="edge"/>
          <c:x val="0"/>
          <c:y val="0.78354739340217205"/>
          <c:w val="0.27296874753837758"/>
          <c:h val="0.15902521167568767"/>
        </c:manualLayout>
      </c:layout>
      <c:overlay val="1"/>
      <c:spPr>
        <a:noFill/>
        <a:ln>
          <a:noFill/>
        </a:ln>
        <a:effectLst/>
      </c:spPr>
      <c:txPr>
        <a:bodyPr rot="0" spcFirstLastPara="1" vertOverflow="ellipsis" vert="horz" wrap="square" anchor="ctr" anchorCtr="1"/>
        <a:lstStyle/>
        <a:p>
          <a:pPr>
            <a:defRPr sz="6000" b="0" i="0" u="none" strike="noStrike" kern="1200" baseline="0">
              <a:solidFill>
                <a:schemeClr val="lt1">
                  <a:lumMod val="8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orientation="portrait"/>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withinLinear" id="16">
  <a:schemeClr val="accent3"/>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withinLinear" id="18">
  <a:schemeClr val="accent5"/>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280">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68">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4.pn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419100</xdr:colOff>
      <xdr:row>4</xdr:row>
      <xdr:rowOff>95250</xdr:rowOff>
    </xdr:from>
    <xdr:to>
      <xdr:col>13</xdr:col>
      <xdr:colOff>12700</xdr:colOff>
      <xdr:row>12</xdr:row>
      <xdr:rowOff>863600</xdr:rowOff>
    </xdr:to>
    <xdr:graphicFrame macro="">
      <xdr:nvGraphicFramePr>
        <xdr:cNvPr id="5" name="Chart 4">
          <a:extLst>
            <a:ext uri="{FF2B5EF4-FFF2-40B4-BE49-F238E27FC236}">
              <a16:creationId xmlns:a16="http://schemas.microsoft.com/office/drawing/2014/main" id="{314BB537-C487-445A-8C5E-A6181D740D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xdr:row>
      <xdr:rowOff>95250</xdr:rowOff>
    </xdr:from>
    <xdr:to>
      <xdr:col>6</xdr:col>
      <xdr:colOff>114300</xdr:colOff>
      <xdr:row>12</xdr:row>
      <xdr:rowOff>647700</xdr:rowOff>
    </xdr:to>
    <xdr:graphicFrame macro="">
      <xdr:nvGraphicFramePr>
        <xdr:cNvPr id="3" name="Chart 2">
          <a:extLst>
            <a:ext uri="{FF2B5EF4-FFF2-40B4-BE49-F238E27FC236}">
              <a16:creationId xmlns:a16="http://schemas.microsoft.com/office/drawing/2014/main" id="{F37EA58E-A728-4BDD-92A7-F977480092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13</xdr:row>
      <xdr:rowOff>31750</xdr:rowOff>
    </xdr:from>
    <xdr:to>
      <xdr:col>13</xdr:col>
      <xdr:colOff>0</xdr:colOff>
      <xdr:row>27</xdr:row>
      <xdr:rowOff>317500</xdr:rowOff>
    </xdr:to>
    <xdr:graphicFrame macro="">
      <xdr:nvGraphicFramePr>
        <xdr:cNvPr id="13" name="Chart 12">
          <a:extLst>
            <a:ext uri="{FF2B5EF4-FFF2-40B4-BE49-F238E27FC236}">
              <a16:creationId xmlns:a16="http://schemas.microsoft.com/office/drawing/2014/main" id="{9118732B-F163-478E-A231-0E2077E6E2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228600</xdr:colOff>
      <xdr:row>23</xdr:row>
      <xdr:rowOff>76200</xdr:rowOff>
    </xdr:from>
    <xdr:to>
      <xdr:col>9</xdr:col>
      <xdr:colOff>6819900</xdr:colOff>
      <xdr:row>35</xdr:row>
      <xdr:rowOff>419100</xdr:rowOff>
    </xdr:to>
    <xdr:graphicFrame macro="">
      <xdr:nvGraphicFramePr>
        <xdr:cNvPr id="14" name="Chart 13">
          <a:extLst>
            <a:ext uri="{FF2B5EF4-FFF2-40B4-BE49-F238E27FC236}">
              <a16:creationId xmlns:a16="http://schemas.microsoft.com/office/drawing/2014/main" id="{D7F2DFBE-A3FB-465D-AB10-884B2D84D8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3314700</xdr:colOff>
      <xdr:row>13</xdr:row>
      <xdr:rowOff>27015</xdr:rowOff>
    </xdr:from>
    <xdr:to>
      <xdr:col>9</xdr:col>
      <xdr:colOff>3738562</xdr:colOff>
      <xdr:row>23</xdr:row>
      <xdr:rowOff>38100</xdr:rowOff>
    </xdr:to>
    <xdr:pic>
      <xdr:nvPicPr>
        <xdr:cNvPr id="4" name="Picture 3">
          <a:extLst>
            <a:ext uri="{FF2B5EF4-FFF2-40B4-BE49-F238E27FC236}">
              <a16:creationId xmlns:a16="http://schemas.microsoft.com/office/drawing/2014/main" id="{78616BB0-DDAC-6400-3B02-CB0215CB0C1A}"/>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1532513" y="12576203"/>
          <a:ext cx="5257799" cy="53688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Y24/Daily%20Cash/0723/071323%20General%20Fund%20Daily%20Cash%20Balance-Dash%20Board.xlsx" TargetMode="External"/><Relationship Id="rId1" Type="http://schemas.openxmlformats.org/officeDocument/2006/relationships/externalLinkPath" Target="/GROUPS/CASHFLOW/FY24/Daily%20Cash/0723/071323%20General%20Fund%20Daily%20Cash%20Balance-Dash%20Board.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FY24/Daily%20Cash/0324/031824%20General%20Fund%20Daily%20Cash%20Balance-Dash%20Board.xlsx" TargetMode="External"/><Relationship Id="rId2" Type="http://schemas.openxmlformats.org/officeDocument/2006/relationships/externalLinkPath" Target="file:///G:\GROUPS\CASHFLOW\FY24\Daily%20Cash\0324\031824%20General%20Fund%20Daily%20Cash%20Balance-Dash%20Board.xlsx" TargetMode="External"/><Relationship Id="rId1" Type="http://schemas.openxmlformats.org/officeDocument/2006/relationships/externalLinkPath" Target="/GROUPS/CASHFLOW/FY24/Daily%20Cash/0324/031824%20General%20Fund%20Daily%20Cash%20Balance-Dash%20Board.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FY26/Daily%20Cash/0825/General%20Fund%20Daily%20Cash%20Balance.xlsx" TargetMode="External"/><Relationship Id="rId2" Type="http://schemas.openxmlformats.org/officeDocument/2006/relationships/externalLinkPath" Target="file:///G:\GROUPS\CASHFLOW\FY26\Daily%20Cash\0825\General%20Fund%20Daily%20Cash%20Balance.xlsx" TargetMode="External"/><Relationship Id="rId1" Type="http://schemas.openxmlformats.org/officeDocument/2006/relationships/externalLinkPath" Target="/GROUPS/CASHFLOW/FY26/Daily%20Cash/0825/General%20Fund%20Daily%20Cash%20Balance.xlsx" TargetMode="External"/></Relationships>
</file>

<file path=xl/externalLinks/_rels/externalLink4.xml.rels><?xml version="1.0" encoding="UTF-8" standalone="yes"?>
<Relationships xmlns="http://schemas.openxmlformats.org/package/2006/relationships"><Relationship Id="rId3" Type="http://schemas.openxmlformats.org/officeDocument/2006/relationships/externalLinkPath" Target="../../../FY26/Daily%20Cash/0326/General%20Fund%20Daily%20Cash%20Balance.xlsx" TargetMode="External"/><Relationship Id="rId2" Type="http://schemas.openxmlformats.org/officeDocument/2006/relationships/externalLinkPath" Target="file:///G:\GROUPS\CASHFLOW\FY26\Daily%20Cash\0326\General%20Fund%20Daily%20Cash%20Balance.xlsx" TargetMode="External"/><Relationship Id="rId1" Type="http://schemas.openxmlformats.org/officeDocument/2006/relationships/externalLinkPath" Target="/GROUPS/CASHFLOW/FY26/Daily%20Cash/0326/General%20Fund%20Daily%20Cash%20Balan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ashboard"/>
      <sheetName val="Data"/>
      <sheetName val="Activity"/>
      <sheetName val="Detail"/>
      <sheetName val="Monthly Projections June"/>
      <sheetName val="Monthly Projections July"/>
      <sheetName val="Source Codes"/>
    </sheetNames>
    <sheetDataSet>
      <sheetData sheetId="0"/>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Dashboard"/>
      <sheetName val="Data"/>
      <sheetName val="Activity"/>
      <sheetName val="Detail"/>
      <sheetName val="Monthly Projections March"/>
      <sheetName val="Sheet1"/>
      <sheetName val="Source Codes"/>
    </sheetNames>
    <sheetDataSet>
      <sheetData sheetId="0"/>
      <sheetData sheetId="1"/>
      <sheetData sheetId="2"/>
      <sheetData sheetId="3"/>
      <sheetData sheetId="4"/>
      <sheetData sheetId="5"/>
      <sheetData sheetId="6">
        <row r="2">
          <cell r="A2" t="str">
            <v xml:space="preserve"> Auditor-Controller’s Office</v>
          </cell>
          <cell r="B2"/>
        </row>
        <row r="3">
          <cell r="A3"/>
          <cell r="B3"/>
        </row>
        <row r="4">
          <cell r="A4" t="str">
            <v>Source Code Definitions</v>
          </cell>
          <cell r="B4"/>
        </row>
        <row r="6">
          <cell r="A6" t="str">
            <v>AAA</v>
          </cell>
          <cell r="B6" t="str">
            <v>ACO Adjust for Fixed Assets</v>
          </cell>
        </row>
        <row r="7">
          <cell r="A7" t="str">
            <v>AAJ</v>
          </cell>
          <cell r="B7" t="str">
            <v>AUDITOR-ONLY Cash Recon Adj</v>
          </cell>
        </row>
        <row r="8">
          <cell r="A8" t="str">
            <v>AJ</v>
          </cell>
          <cell r="B8" t="str">
            <v>CAFR ONLY - Auditor Audit Adj</v>
          </cell>
        </row>
        <row r="9">
          <cell r="A9" t="str">
            <v>ALI</v>
          </cell>
          <cell r="B9" t="str">
            <v>Interfund Allocations</v>
          </cell>
        </row>
        <row r="10">
          <cell r="A10" t="str">
            <v>ALO</v>
          </cell>
          <cell r="B10" t="str">
            <v>Allocations</v>
          </cell>
        </row>
        <row r="11">
          <cell r="A11" t="str">
            <v>AM</v>
          </cell>
          <cell r="B11" t="str">
            <v>AM Module Journals</v>
          </cell>
        </row>
        <row r="12">
          <cell r="A12" t="str">
            <v>AMA</v>
          </cell>
          <cell r="B12" t="str">
            <v>AM Additions</v>
          </cell>
        </row>
        <row r="13">
          <cell r="A13" t="str">
            <v>AMC</v>
          </cell>
          <cell r="B13" t="str">
            <v>AM Re-Categorizations</v>
          </cell>
        </row>
        <row r="14">
          <cell r="A14" t="str">
            <v>AMD</v>
          </cell>
          <cell r="B14" t="str">
            <v>AM Depreciation Expense</v>
          </cell>
        </row>
        <row r="15">
          <cell r="A15" t="str">
            <v>AMR</v>
          </cell>
          <cell r="B15" t="str">
            <v>AM Retirements</v>
          </cell>
        </row>
        <row r="16">
          <cell r="A16" t="str">
            <v>AMT</v>
          </cell>
          <cell r="B16" t="str">
            <v>AM Adjustments &amp; Transfers</v>
          </cell>
        </row>
        <row r="17">
          <cell r="A17" t="str">
            <v>AP</v>
          </cell>
          <cell r="B17" t="str">
            <v>AP Module Journals</v>
          </cell>
        </row>
        <row r="18">
          <cell r="A18" t="str">
            <v>APC</v>
          </cell>
          <cell r="B18" t="str">
            <v>AP Closure</v>
          </cell>
        </row>
        <row r="19">
          <cell r="A19" t="str">
            <v>APV</v>
          </cell>
          <cell r="B19" t="str">
            <v>AP Voucher Accrual</v>
          </cell>
        </row>
        <row r="20">
          <cell r="A20" t="str">
            <v>APW</v>
          </cell>
          <cell r="B20" t="str">
            <v>AP Warrant Issuance</v>
          </cell>
        </row>
        <row r="21">
          <cell r="A21" t="str">
            <v>APX</v>
          </cell>
          <cell r="B21" t="str">
            <v>AP Cancellation</v>
          </cell>
        </row>
        <row r="22">
          <cell r="A22" t="str">
            <v>APZ</v>
          </cell>
          <cell r="B22" t="str">
            <v>Warrant Cash Reclass</v>
          </cell>
        </row>
        <row r="23">
          <cell r="A23" t="str">
            <v>AR</v>
          </cell>
          <cell r="B23" t="str">
            <v>AR Module Journals</v>
          </cell>
        </row>
        <row r="24">
          <cell r="A24" t="str">
            <v>ARB</v>
          </cell>
          <cell r="B24" t="str">
            <v>AR Billing</v>
          </cell>
        </row>
        <row r="25">
          <cell r="A25" t="str">
            <v>ARD</v>
          </cell>
          <cell r="B25" t="str">
            <v>AR Direct Cash Journal</v>
          </cell>
        </row>
        <row r="26">
          <cell r="A26" t="str">
            <v>ARM</v>
          </cell>
          <cell r="B26" t="str">
            <v>AR Maintenance</v>
          </cell>
        </row>
        <row r="27">
          <cell r="A27" t="str">
            <v>ARP</v>
          </cell>
          <cell r="B27" t="str">
            <v>AR Payments</v>
          </cell>
        </row>
        <row r="28">
          <cell r="A28" t="str">
            <v>AT</v>
          </cell>
          <cell r="B28" t="str">
            <v>Property Tax Interface</v>
          </cell>
        </row>
        <row r="29">
          <cell r="A29" t="str">
            <v>BFD</v>
          </cell>
          <cell r="B29" t="str">
            <v>Balance Forwards</v>
          </cell>
        </row>
        <row r="30">
          <cell r="A30" t="str">
            <v>BI</v>
          </cell>
          <cell r="B30" t="str">
            <v>BI Module Journal</v>
          </cell>
        </row>
        <row r="31">
          <cell r="A31" t="str">
            <v>BIB</v>
          </cell>
          <cell r="B31" t="str">
            <v>BI Billing</v>
          </cell>
        </row>
        <row r="32">
          <cell r="A32" t="str">
            <v>BIU</v>
          </cell>
          <cell r="B32" t="str">
            <v>BI Accrual of Unbilled Revenue</v>
          </cell>
        </row>
        <row r="33">
          <cell r="A33" t="str">
            <v>CHA</v>
          </cell>
          <cell r="B33" t="str">
            <v>Health Interface Journals</v>
          </cell>
        </row>
        <row r="34">
          <cell r="A34" t="str">
            <v>CIV</v>
          </cell>
          <cell r="B34" t="str">
            <v>C-IV Voucher/Payments/EBT</v>
          </cell>
        </row>
        <row r="35">
          <cell r="A35" t="str">
            <v>CJ</v>
          </cell>
          <cell r="B35" t="str">
            <v>CAFR ONLY - Client Audit Adj</v>
          </cell>
        </row>
        <row r="36">
          <cell r="A36" t="str">
            <v>DBC</v>
          </cell>
          <cell r="B36" t="str">
            <v>Deposit Based Closures</v>
          </cell>
        </row>
        <row r="37">
          <cell r="A37" t="str">
            <v>DBF</v>
          </cell>
          <cell r="B37" t="str">
            <v>Deposit Based Fees</v>
          </cell>
        </row>
        <row r="38">
          <cell r="A38" t="str">
            <v>FFC</v>
          </cell>
          <cell r="B38" t="str">
            <v>Flood Control Projt Conversion</v>
          </cell>
        </row>
        <row r="39">
          <cell r="A39" t="str">
            <v>FIX</v>
          </cell>
          <cell r="B39" t="str">
            <v>Year-End Fix Up</v>
          </cell>
        </row>
        <row r="40">
          <cell r="A40" t="str">
            <v>FLD</v>
          </cell>
          <cell r="B40" t="str">
            <v>Flood-Online Interface Files</v>
          </cell>
        </row>
        <row r="41">
          <cell r="A41" t="str">
            <v>FNP</v>
          </cell>
          <cell r="B41" t="str">
            <v>Flood Non-Project Payroll</v>
          </cell>
        </row>
        <row r="42">
          <cell r="A42" t="str">
            <v>GW</v>
          </cell>
          <cell r="B42" t="str">
            <v>Government-Wide(GASB34)GAAP2</v>
          </cell>
        </row>
        <row r="43">
          <cell r="A43" t="str">
            <v>HAC</v>
          </cell>
          <cell r="B43" t="str">
            <v>RCRMC Hospital Accruals</v>
          </cell>
        </row>
        <row r="44">
          <cell r="A44" t="str">
            <v>HAM</v>
          </cell>
          <cell r="B44" t="str">
            <v>Hospital Accruals Manual</v>
          </cell>
        </row>
        <row r="45">
          <cell r="A45" t="str">
            <v>IN</v>
          </cell>
          <cell r="B45" t="str">
            <v>IN Module Journals</v>
          </cell>
        </row>
        <row r="46">
          <cell r="A46" t="str">
            <v>INT</v>
          </cell>
          <cell r="B46" t="str">
            <v>Inventory Transactions</v>
          </cell>
        </row>
        <row r="47">
          <cell r="A47" t="str">
            <v>IT</v>
          </cell>
          <cell r="B47" t="str">
            <v>Treasurers Interest Apportion</v>
          </cell>
        </row>
        <row r="48">
          <cell r="A48" t="str">
            <v>ITA</v>
          </cell>
          <cell r="B48" t="str">
            <v>IT Applications Dev Support</v>
          </cell>
        </row>
        <row r="49">
          <cell r="A49" t="str">
            <v>ITD</v>
          </cell>
          <cell r="B49" t="str">
            <v>IT Data Communications Svcs</v>
          </cell>
        </row>
        <row r="50">
          <cell r="A50" t="str">
            <v>ITM</v>
          </cell>
          <cell r="B50" t="str">
            <v>IT Miscellaneous Services</v>
          </cell>
        </row>
        <row r="51">
          <cell r="A51" t="str">
            <v>ITO</v>
          </cell>
          <cell r="B51" t="str">
            <v>IT Operations Support</v>
          </cell>
        </row>
        <row r="52">
          <cell r="A52" t="str">
            <v>ITP</v>
          </cell>
          <cell r="B52" t="str">
            <v>IT Phone Journals</v>
          </cell>
        </row>
        <row r="53">
          <cell r="A53" t="str">
            <v>ITR</v>
          </cell>
          <cell r="B53" t="str">
            <v>IT Radio &amp; Electronics Svcs</v>
          </cell>
        </row>
        <row r="54">
          <cell r="A54" t="str">
            <v>ITS</v>
          </cell>
          <cell r="B54" t="str">
            <v>IT Systems Support</v>
          </cell>
        </row>
        <row r="55">
          <cell r="A55" t="str">
            <v>ITT</v>
          </cell>
          <cell r="B55" t="str">
            <v>IT Telephone Services</v>
          </cell>
        </row>
        <row r="56">
          <cell r="A56" t="str">
            <v>ITZ</v>
          </cell>
          <cell r="B56" t="str">
            <v>IT Planning &amp; Research Support</v>
          </cell>
        </row>
        <row r="57">
          <cell r="A57" t="str">
            <v>OCJ</v>
          </cell>
          <cell r="B57" t="str">
            <v>2002 CAJE(CAFR Audit Adjust)</v>
          </cell>
        </row>
        <row r="58">
          <cell r="A58" t="str">
            <v>ONL</v>
          </cell>
          <cell r="B58" t="str">
            <v>On Line Journal Entries</v>
          </cell>
        </row>
        <row r="59">
          <cell r="A59" t="str">
            <v>PC</v>
          </cell>
          <cell r="B59" t="str">
            <v>Project Costing</v>
          </cell>
        </row>
        <row r="60">
          <cell r="A60" t="str">
            <v>PCA</v>
          </cell>
          <cell r="B60" t="str">
            <v>Project Cost Adjustments</v>
          </cell>
        </row>
        <row r="61">
          <cell r="A61" t="str">
            <v>PCC</v>
          </cell>
          <cell r="B61" t="str">
            <v>Project Costing</v>
          </cell>
        </row>
        <row r="62">
          <cell r="A62" t="str">
            <v>PDW</v>
          </cell>
          <cell r="B62" t="str">
            <v>Paid Warrants Non PS</v>
          </cell>
        </row>
        <row r="63">
          <cell r="A63" t="str">
            <v>PEC</v>
          </cell>
          <cell r="B63" t="str">
            <v>PO Encumbrance Closure</v>
          </cell>
        </row>
        <row r="64">
          <cell r="A64" t="str">
            <v>PER</v>
          </cell>
          <cell r="B64" t="str">
            <v>PO Encumbrance Reversal</v>
          </cell>
        </row>
        <row r="65">
          <cell r="A65" t="str">
            <v>PO</v>
          </cell>
          <cell r="B65" t="str">
            <v>PO Module Journals</v>
          </cell>
        </row>
        <row r="66">
          <cell r="A66" t="str">
            <v>POE</v>
          </cell>
          <cell r="B66" t="str">
            <v>PO Encumbrance</v>
          </cell>
        </row>
        <row r="67">
          <cell r="A67" t="str">
            <v>PPC</v>
          </cell>
          <cell r="B67" t="str">
            <v>PO Pre-Encumbrance Closure</v>
          </cell>
        </row>
        <row r="68">
          <cell r="A68" t="str">
            <v>PPE</v>
          </cell>
          <cell r="B68" t="str">
            <v>PO Pre-Encumbrance</v>
          </cell>
        </row>
        <row r="69">
          <cell r="A69" t="str">
            <v>PPR</v>
          </cell>
          <cell r="B69" t="str">
            <v>PO Pre-Encumbrance Reversal</v>
          </cell>
        </row>
        <row r="70">
          <cell r="A70" t="str">
            <v>PR</v>
          </cell>
          <cell r="B70" t="str">
            <v>HRMS Interface Journals</v>
          </cell>
        </row>
        <row r="71">
          <cell r="A71" t="str">
            <v>PRA</v>
          </cell>
          <cell r="B71" t="str">
            <v>Payroll Adjustments ACO</v>
          </cell>
        </row>
        <row r="72">
          <cell r="A72" t="str">
            <v>PRT</v>
          </cell>
          <cell r="B72" t="str">
            <v>Printing Services</v>
          </cell>
        </row>
        <row r="73">
          <cell r="A73" t="str">
            <v>PT</v>
          </cell>
          <cell r="B73" t="str">
            <v>Property Tax Interface Refunds</v>
          </cell>
        </row>
        <row r="74">
          <cell r="A74" t="str">
            <v>PTR</v>
          </cell>
          <cell r="B74" t="str">
            <v>Property Tax  RONES</v>
          </cell>
        </row>
        <row r="75">
          <cell r="A75" t="str">
            <v>PTT</v>
          </cell>
          <cell r="B75" t="str">
            <v>Property Tax  TEETER</v>
          </cell>
        </row>
        <row r="76">
          <cell r="A76" t="str">
            <v>PUR</v>
          </cell>
          <cell r="B76" t="str">
            <v>Prch,Cntrl Mail,Flt,Prntg,Sply</v>
          </cell>
        </row>
        <row r="77">
          <cell r="A77" t="str">
            <v>RMC</v>
          </cell>
          <cell r="B77" t="str">
            <v>Medical Center Interface JE's</v>
          </cell>
        </row>
        <row r="78">
          <cell r="A78" t="str">
            <v>SPD</v>
          </cell>
          <cell r="B78" t="str">
            <v>Spreadsheet Journal Entries</v>
          </cell>
        </row>
        <row r="79">
          <cell r="A79" t="str">
            <v>STL</v>
          </cell>
          <cell r="B79" t="str">
            <v>Stale Dated Warrants</v>
          </cell>
        </row>
        <row r="80">
          <cell r="A80" t="str">
            <v>SUP</v>
          </cell>
          <cell r="B80" t="str">
            <v>Supply Services</v>
          </cell>
        </row>
        <row r="81">
          <cell r="A81" t="str">
            <v>TLC</v>
          </cell>
          <cell r="B81" t="str">
            <v>TLMA Project Conversion</v>
          </cell>
        </row>
        <row r="82">
          <cell r="A82" t="str">
            <v>TSC</v>
          </cell>
          <cell r="B82" t="str">
            <v>Treasurer School Journals</v>
          </cell>
        </row>
        <row r="83">
          <cell r="A83" t="str">
            <v>UPG</v>
          </cell>
          <cell r="B83" t="str">
            <v>Upgrade-Controlled Budget Jrnl</v>
          </cell>
        </row>
        <row r="84">
          <cell r="A84" t="str">
            <v>WAC</v>
          </cell>
          <cell r="B84" t="str">
            <v>Waste Accrual Entries</v>
          </cell>
        </row>
        <row r="85">
          <cell r="A85" t="str">
            <v>WTP</v>
          </cell>
          <cell r="B85" t="str">
            <v>Warrants Paid</v>
          </cell>
        </row>
        <row r="86">
          <cell r="A86" t="str">
            <v>YE</v>
          </cell>
          <cell r="B86" t="str">
            <v>Year-End Package Journals</v>
          </cell>
        </row>
        <row r="87">
          <cell r="A87" t="str">
            <v>FMI</v>
          </cell>
          <cell r="B87" t="str">
            <v>Facilities Mngmnt Intfc Jrnls</v>
          </cell>
        </row>
        <row r="88">
          <cell r="A88" t="str">
            <v>TTC</v>
          </cell>
          <cell r="B88" t="str">
            <v>Treasurer Tax Collector</v>
          </cell>
        </row>
        <row r="89">
          <cell r="A89" t="str">
            <v xml:space="preserve">PRS </v>
          </cell>
          <cell r="B89" t="str">
            <v>Payroll TAP Service Fees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Dashboard"/>
      <sheetName val="Data"/>
      <sheetName val="Activity"/>
      <sheetName val="Detail"/>
      <sheetName val="Monthly Projections August"/>
      <sheetName val="Monthly Projections September"/>
      <sheetName val="Sheet1"/>
      <sheetName val="Source Codes"/>
      <sheetName val="Monthly Projections June"/>
    </sheetNames>
    <sheetDataSet>
      <sheetData sheetId="0"/>
      <sheetData sheetId="1"/>
      <sheetData sheetId="2"/>
      <sheetData sheetId="3"/>
      <sheetData sheetId="4"/>
      <sheetData sheetId="5"/>
      <sheetData sheetId="6"/>
      <sheetData sheetId="7">
        <row r="2">
          <cell r="A2" t="str">
            <v xml:space="preserve"> Auditor-Controller’s Office</v>
          </cell>
          <cell r="B2"/>
        </row>
        <row r="3">
          <cell r="A3" t="str">
            <v>Source Code Definitions</v>
          </cell>
          <cell r="B3"/>
        </row>
        <row r="4">
          <cell r="A4"/>
          <cell r="B4"/>
        </row>
        <row r="5">
          <cell r="A5" t="str">
            <v>Source Code</v>
          </cell>
          <cell r="B5" t="str">
            <v>Source Code Definition</v>
          </cell>
        </row>
        <row r="6">
          <cell r="A6" t="str">
            <v>AAA</v>
          </cell>
          <cell r="B6" t="str">
            <v>ACO Adjust for Fixed Assets</v>
          </cell>
        </row>
        <row r="7">
          <cell r="A7" t="str">
            <v>AAJ</v>
          </cell>
          <cell r="B7" t="str">
            <v>AUDITOR-ONLY Cash Recon Adj</v>
          </cell>
        </row>
        <row r="8">
          <cell r="A8" t="str">
            <v>AJ</v>
          </cell>
          <cell r="B8" t="str">
            <v>CAFR ONLY - Auditor Audit Adj</v>
          </cell>
        </row>
        <row r="9">
          <cell r="A9" t="str">
            <v>ALI</v>
          </cell>
          <cell r="B9" t="str">
            <v>Interfund Allocations</v>
          </cell>
        </row>
        <row r="10">
          <cell r="A10" t="str">
            <v>ALO</v>
          </cell>
          <cell r="B10" t="str">
            <v>Allocations</v>
          </cell>
        </row>
        <row r="11">
          <cell r="A11" t="str">
            <v>AM</v>
          </cell>
          <cell r="B11" t="str">
            <v>AM Module Journals</v>
          </cell>
        </row>
        <row r="12">
          <cell r="A12" t="str">
            <v>AMA</v>
          </cell>
          <cell r="B12" t="str">
            <v>AM Additions</v>
          </cell>
        </row>
        <row r="13">
          <cell r="A13" t="str">
            <v>AMC</v>
          </cell>
          <cell r="B13" t="str">
            <v>AM Re-Categorizations</v>
          </cell>
        </row>
        <row r="14">
          <cell r="A14" t="str">
            <v>AMD</v>
          </cell>
          <cell r="B14" t="str">
            <v>AM Depreciation Expense</v>
          </cell>
        </row>
        <row r="15">
          <cell r="A15" t="str">
            <v>AMR</v>
          </cell>
          <cell r="B15" t="str">
            <v>AM Retirements</v>
          </cell>
        </row>
        <row r="16">
          <cell r="A16" t="str">
            <v>AMT</v>
          </cell>
          <cell r="B16" t="str">
            <v>AM Adjustments &amp; Transfers</v>
          </cell>
        </row>
        <row r="17">
          <cell r="A17" t="str">
            <v>AP</v>
          </cell>
          <cell r="B17" t="str">
            <v>AP Module Journals</v>
          </cell>
        </row>
        <row r="18">
          <cell r="A18" t="str">
            <v>APC</v>
          </cell>
          <cell r="B18" t="str">
            <v>AP Closure</v>
          </cell>
        </row>
        <row r="19">
          <cell r="A19" t="str">
            <v>APV</v>
          </cell>
          <cell r="B19" t="str">
            <v>AP Voucher Accrual</v>
          </cell>
        </row>
        <row r="20">
          <cell r="A20" t="str">
            <v>APW</v>
          </cell>
          <cell r="B20" t="str">
            <v>AP Warrant Issuance</v>
          </cell>
        </row>
        <row r="21">
          <cell r="A21" t="str">
            <v>APX</v>
          </cell>
          <cell r="B21" t="str">
            <v>AP Cancellation</v>
          </cell>
        </row>
        <row r="22">
          <cell r="A22" t="str">
            <v>APZ</v>
          </cell>
          <cell r="B22" t="str">
            <v>Warrant Cash Reclass</v>
          </cell>
        </row>
        <row r="23">
          <cell r="A23" t="str">
            <v>AR</v>
          </cell>
          <cell r="B23" t="str">
            <v>AR Module Journals</v>
          </cell>
        </row>
        <row r="24">
          <cell r="A24" t="str">
            <v>ARB</v>
          </cell>
          <cell r="B24" t="str">
            <v>AR Billing</v>
          </cell>
        </row>
        <row r="25">
          <cell r="A25" t="str">
            <v>ARD</v>
          </cell>
          <cell r="B25" t="str">
            <v>AR Direct Cash Journal</v>
          </cell>
        </row>
        <row r="26">
          <cell r="A26" t="str">
            <v>ARM</v>
          </cell>
          <cell r="B26" t="str">
            <v>AR Maintenance</v>
          </cell>
        </row>
        <row r="27">
          <cell r="A27" t="str">
            <v>ARP</v>
          </cell>
          <cell r="B27" t="str">
            <v>AR Payments</v>
          </cell>
        </row>
        <row r="28">
          <cell r="A28" t="str">
            <v>AT</v>
          </cell>
          <cell r="B28" t="str">
            <v>Property Tax Interface</v>
          </cell>
        </row>
        <row r="29">
          <cell r="A29" t="str">
            <v>BFD</v>
          </cell>
          <cell r="B29" t="str">
            <v>Balance Forwards</v>
          </cell>
        </row>
        <row r="30">
          <cell r="A30" t="str">
            <v>BI</v>
          </cell>
          <cell r="B30" t="str">
            <v>BI Module Journal</v>
          </cell>
        </row>
        <row r="31">
          <cell r="A31" t="str">
            <v>BIB</v>
          </cell>
          <cell r="B31" t="str">
            <v>BI Billing</v>
          </cell>
        </row>
        <row r="32">
          <cell r="A32" t="str">
            <v>BIU</v>
          </cell>
          <cell r="B32" t="str">
            <v>BI Accrual of Unbilled Revenue</v>
          </cell>
        </row>
        <row r="33">
          <cell r="A33" t="str">
            <v>CHA</v>
          </cell>
          <cell r="B33" t="str">
            <v>Health Interface Journals</v>
          </cell>
        </row>
        <row r="34">
          <cell r="A34" t="str">
            <v>CIV</v>
          </cell>
          <cell r="B34" t="str">
            <v>C-IV Voucher/Payments/EBT</v>
          </cell>
        </row>
        <row r="35">
          <cell r="A35" t="str">
            <v>CJ</v>
          </cell>
          <cell r="B35" t="str">
            <v>CAFR ONLY - Client Audit Adj</v>
          </cell>
        </row>
        <row r="36">
          <cell r="A36" t="str">
            <v>DBC</v>
          </cell>
          <cell r="B36" t="str">
            <v>Deposit Based Closures</v>
          </cell>
        </row>
        <row r="37">
          <cell r="A37" t="str">
            <v>DBF</v>
          </cell>
          <cell r="B37" t="str">
            <v>Deposit Based Fees</v>
          </cell>
        </row>
        <row r="38">
          <cell r="A38" t="str">
            <v>FFC</v>
          </cell>
          <cell r="B38" t="str">
            <v>Flood Control Projt Conversion</v>
          </cell>
        </row>
        <row r="39">
          <cell r="A39" t="str">
            <v>FIX</v>
          </cell>
          <cell r="B39" t="str">
            <v>Year-End Fix Up</v>
          </cell>
        </row>
        <row r="40">
          <cell r="A40" t="str">
            <v>FLD</v>
          </cell>
          <cell r="B40" t="str">
            <v>Flood-Online Interface Files</v>
          </cell>
        </row>
        <row r="41">
          <cell r="A41" t="str">
            <v>FMI</v>
          </cell>
          <cell r="B41" t="str">
            <v>Facilities Mngmnt Intfc Jrnls</v>
          </cell>
        </row>
        <row r="42">
          <cell r="A42" t="str">
            <v>FNP</v>
          </cell>
          <cell r="B42" t="str">
            <v>Flood Non-Project Payroll</v>
          </cell>
        </row>
        <row r="43">
          <cell r="A43" t="str">
            <v>GW</v>
          </cell>
          <cell r="B43" t="str">
            <v>Government-Wide(GASB34)GAAP2</v>
          </cell>
        </row>
        <row r="44">
          <cell r="A44" t="str">
            <v>HAC</v>
          </cell>
          <cell r="B44" t="str">
            <v>RCRMC Hospital Accruals</v>
          </cell>
        </row>
        <row r="45">
          <cell r="A45" t="str">
            <v>HAM</v>
          </cell>
          <cell r="B45" t="str">
            <v>Hospital Accruals Manual</v>
          </cell>
        </row>
        <row r="46">
          <cell r="A46" t="str">
            <v>IN</v>
          </cell>
          <cell r="B46" t="str">
            <v>IN Module Journals</v>
          </cell>
        </row>
        <row r="47">
          <cell r="A47" t="str">
            <v>INT</v>
          </cell>
          <cell r="B47" t="str">
            <v>Inventory Transactions</v>
          </cell>
        </row>
        <row r="48">
          <cell r="A48" t="str">
            <v>IT</v>
          </cell>
          <cell r="B48" t="str">
            <v>Treasurers Interest Apportion</v>
          </cell>
        </row>
        <row r="49">
          <cell r="A49" t="str">
            <v>ITA</v>
          </cell>
          <cell r="B49" t="str">
            <v>IT Applications Dev Support</v>
          </cell>
        </row>
        <row r="50">
          <cell r="A50" t="str">
            <v>ITD</v>
          </cell>
          <cell r="B50" t="str">
            <v>IT Data Communications Svcs</v>
          </cell>
        </row>
        <row r="51">
          <cell r="A51" t="str">
            <v>ITE</v>
          </cell>
          <cell r="B51" t="str">
            <v>IT Enterprise Solutions</v>
          </cell>
        </row>
        <row r="52">
          <cell r="A52" t="str">
            <v>ITG</v>
          </cell>
          <cell r="B52" t="str">
            <v>IT GIS</v>
          </cell>
        </row>
        <row r="53">
          <cell r="A53" t="str">
            <v>ITM</v>
          </cell>
          <cell r="B53" t="str">
            <v>IT Miscellaneous Services</v>
          </cell>
        </row>
        <row r="54">
          <cell r="A54" t="str">
            <v>ITO</v>
          </cell>
          <cell r="B54" t="str">
            <v>IT Operations Support</v>
          </cell>
        </row>
        <row r="55">
          <cell r="A55" t="str">
            <v>ITP</v>
          </cell>
          <cell r="B55" t="str">
            <v>IT Phone Journals</v>
          </cell>
        </row>
        <row r="56">
          <cell r="A56" t="str">
            <v>ITR</v>
          </cell>
          <cell r="B56" t="str">
            <v>IT Radio &amp; Electronics Svcs</v>
          </cell>
        </row>
        <row r="57">
          <cell r="A57" t="str">
            <v>ITS</v>
          </cell>
          <cell r="B57" t="str">
            <v>IT Systems Support</v>
          </cell>
        </row>
        <row r="58">
          <cell r="A58" t="str">
            <v>ITT</v>
          </cell>
          <cell r="B58" t="str">
            <v>IT Telephone Services</v>
          </cell>
        </row>
        <row r="59">
          <cell r="A59" t="str">
            <v>ITZ</v>
          </cell>
          <cell r="B59" t="str">
            <v>IT Planning &amp; Research Support</v>
          </cell>
        </row>
        <row r="60">
          <cell r="A60" t="str">
            <v>OCJ</v>
          </cell>
          <cell r="B60" t="str">
            <v>2002 CAJE(CAFR Audit Adjust)</v>
          </cell>
        </row>
        <row r="61">
          <cell r="A61" t="str">
            <v>ONL</v>
          </cell>
          <cell r="B61" t="str">
            <v>On Line Journal Entries</v>
          </cell>
        </row>
        <row r="62">
          <cell r="A62" t="str">
            <v>PC</v>
          </cell>
          <cell r="B62" t="str">
            <v>Project Costing</v>
          </cell>
        </row>
        <row r="63">
          <cell r="A63" t="str">
            <v>PCA</v>
          </cell>
          <cell r="B63" t="str">
            <v>Project Cost Adjustments</v>
          </cell>
        </row>
        <row r="64">
          <cell r="A64" t="str">
            <v>PCC</v>
          </cell>
          <cell r="B64" t="str">
            <v>Project Costing</v>
          </cell>
        </row>
        <row r="65">
          <cell r="A65" t="str">
            <v>PDW</v>
          </cell>
          <cell r="B65" t="str">
            <v>Paid Warrants Non PS</v>
          </cell>
        </row>
        <row r="66">
          <cell r="A66" t="str">
            <v>PEC</v>
          </cell>
          <cell r="B66" t="str">
            <v>PO Encumbrance Closure</v>
          </cell>
        </row>
        <row r="67">
          <cell r="A67" t="str">
            <v>PER</v>
          </cell>
          <cell r="B67" t="str">
            <v>PO Encumbrance Reversal</v>
          </cell>
        </row>
        <row r="68">
          <cell r="A68" t="str">
            <v>PFS</v>
          </cell>
          <cell r="B68" t="str">
            <v>Purchasing-Fleet Accrl Entries</v>
          </cell>
        </row>
        <row r="69">
          <cell r="A69" t="str">
            <v>PK</v>
          </cell>
          <cell r="B69" t="str">
            <v>Parks Department</v>
          </cell>
        </row>
        <row r="70">
          <cell r="A70" t="str">
            <v>PO</v>
          </cell>
          <cell r="B70" t="str">
            <v>PO Module Journals</v>
          </cell>
        </row>
        <row r="71">
          <cell r="A71" t="str">
            <v>POE</v>
          </cell>
          <cell r="B71" t="str">
            <v>PO Encumbrance</v>
          </cell>
        </row>
        <row r="72">
          <cell r="A72" t="str">
            <v>PPC</v>
          </cell>
          <cell r="B72" t="str">
            <v>PO Pre-Encumbrance Closure</v>
          </cell>
        </row>
        <row r="73">
          <cell r="A73" t="str">
            <v>PPE</v>
          </cell>
          <cell r="B73" t="str">
            <v>PO Pre-Encumbrance</v>
          </cell>
        </row>
        <row r="74">
          <cell r="A74" t="str">
            <v>PPR</v>
          </cell>
          <cell r="B74" t="str">
            <v>PO Pre-Encumbrance Reversal</v>
          </cell>
        </row>
        <row r="75">
          <cell r="A75" t="str">
            <v>PR</v>
          </cell>
          <cell r="B75" t="str">
            <v>HRMS Interface Journals</v>
          </cell>
        </row>
        <row r="76">
          <cell r="A76" t="str">
            <v>PRA</v>
          </cell>
          <cell r="B76" t="str">
            <v>Payroll Adjustments ACO</v>
          </cell>
        </row>
        <row r="77">
          <cell r="A77" t="str">
            <v>PRF</v>
          </cell>
          <cell r="B77" t="str">
            <v>Payroll Fees</v>
          </cell>
        </row>
        <row r="78">
          <cell r="A78" t="str">
            <v>PRS</v>
          </cell>
          <cell r="B78" t="str">
            <v>Payroll TAP Service Fees</v>
          </cell>
        </row>
        <row r="79">
          <cell r="A79" t="str">
            <v>PRT</v>
          </cell>
          <cell r="B79" t="str">
            <v>Printing Services</v>
          </cell>
        </row>
        <row r="80">
          <cell r="A80" t="str">
            <v>PT</v>
          </cell>
          <cell r="B80" t="str">
            <v>Property Tax Interface Refunds</v>
          </cell>
        </row>
        <row r="81">
          <cell r="A81" t="str">
            <v>PTR</v>
          </cell>
          <cell r="B81" t="str">
            <v>Property Tax  RONES</v>
          </cell>
        </row>
        <row r="82">
          <cell r="A82" t="str">
            <v>PTT</v>
          </cell>
          <cell r="B82" t="str">
            <v>Property Tax  TEETER</v>
          </cell>
        </row>
        <row r="83">
          <cell r="A83" t="str">
            <v>PUR</v>
          </cell>
          <cell r="B83" t="str">
            <v>Prch,Cntrl Mail,Flt,Prntg,Sply</v>
          </cell>
        </row>
        <row r="84">
          <cell r="A84" t="str">
            <v>RMC</v>
          </cell>
          <cell r="B84" t="str">
            <v>Medical Center Interface JE's</v>
          </cell>
        </row>
        <row r="85">
          <cell r="A85" t="str">
            <v>SPD</v>
          </cell>
          <cell r="B85" t="str">
            <v>Spreadsheet Journal Entries</v>
          </cell>
        </row>
        <row r="86">
          <cell r="A86" t="str">
            <v>STL</v>
          </cell>
          <cell r="B86" t="str">
            <v>Stale Dated Warrants</v>
          </cell>
        </row>
        <row r="87">
          <cell r="A87" t="str">
            <v>SUP</v>
          </cell>
          <cell r="B87" t="str">
            <v>Supply Services</v>
          </cell>
        </row>
        <row r="88">
          <cell r="A88" t="str">
            <v>TLC</v>
          </cell>
          <cell r="B88" t="str">
            <v>TLMA Project Conversion</v>
          </cell>
        </row>
        <row r="89">
          <cell r="A89" t="str">
            <v>TSC</v>
          </cell>
          <cell r="B89" t="str">
            <v>Treasurer School Journals</v>
          </cell>
        </row>
        <row r="90">
          <cell r="A90" t="str">
            <v>TTC</v>
          </cell>
          <cell r="B90" t="str">
            <v>Treasurer Tax Collector</v>
          </cell>
        </row>
        <row r="91">
          <cell r="A91" t="str">
            <v>UPG</v>
          </cell>
          <cell r="B91" t="str">
            <v>Upgrade-Controlled Budget Jrnl</v>
          </cell>
        </row>
        <row r="92">
          <cell r="A92" t="str">
            <v>WAC</v>
          </cell>
          <cell r="B92" t="str">
            <v>Waste Accrual Entries</v>
          </cell>
        </row>
        <row r="93">
          <cell r="A93" t="str">
            <v>WTP</v>
          </cell>
          <cell r="B93" t="str">
            <v>Warrants Paid</v>
          </cell>
        </row>
        <row r="94">
          <cell r="A94" t="str">
            <v>YE</v>
          </cell>
          <cell r="B94" t="str">
            <v>Year-End Package Journals</v>
          </cell>
        </row>
      </sheetData>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Dashboard"/>
      <sheetName val="Data"/>
      <sheetName val="Activity"/>
      <sheetName val="Detail"/>
      <sheetName val="Monthly Projections March"/>
      <sheetName val="Monthly Projections April"/>
      <sheetName val="Source Codes"/>
    </sheetNames>
    <sheetDataSet>
      <sheetData sheetId="0"/>
      <sheetData sheetId="1"/>
      <sheetData sheetId="2"/>
      <sheetData sheetId="3"/>
      <sheetData sheetId="4"/>
      <sheetData sheetId="5"/>
      <sheetData sheetId="6">
        <row r="2">
          <cell r="A2" t="str">
            <v xml:space="preserve"> Auditor-Controller’s Office</v>
          </cell>
          <cell r="B2"/>
        </row>
        <row r="3">
          <cell r="A3" t="str">
            <v>Source Code Definitions</v>
          </cell>
          <cell r="B3"/>
        </row>
        <row r="4">
          <cell r="A4"/>
          <cell r="B4"/>
        </row>
        <row r="5">
          <cell r="A5" t="str">
            <v>Source Code</v>
          </cell>
          <cell r="B5" t="str">
            <v>Source Code Definition</v>
          </cell>
        </row>
        <row r="6">
          <cell r="A6" t="str">
            <v>AAA</v>
          </cell>
          <cell r="B6" t="str">
            <v>ACO Adjust for Fixed Assets</v>
          </cell>
        </row>
        <row r="7">
          <cell r="A7" t="str">
            <v>AAJ</v>
          </cell>
          <cell r="B7" t="str">
            <v>AUDITOR-ONLY Cash Recon Adj</v>
          </cell>
        </row>
        <row r="8">
          <cell r="A8" t="str">
            <v>AJ</v>
          </cell>
          <cell r="B8" t="str">
            <v>CAFR ONLY - Auditor Audit Adj</v>
          </cell>
        </row>
        <row r="9">
          <cell r="A9" t="str">
            <v>ALI</v>
          </cell>
          <cell r="B9" t="str">
            <v>Interfund Allocations</v>
          </cell>
        </row>
        <row r="10">
          <cell r="A10" t="str">
            <v>ALO</v>
          </cell>
          <cell r="B10" t="str">
            <v>Allocations</v>
          </cell>
        </row>
        <row r="11">
          <cell r="A11" t="str">
            <v>AM</v>
          </cell>
          <cell r="B11" t="str">
            <v>AM Module Journals</v>
          </cell>
        </row>
        <row r="12">
          <cell r="A12" t="str">
            <v>AMA</v>
          </cell>
          <cell r="B12" t="str">
            <v>AM Additions</v>
          </cell>
        </row>
        <row r="13">
          <cell r="A13" t="str">
            <v>AMC</v>
          </cell>
          <cell r="B13" t="str">
            <v>AM Re-Categorizations</v>
          </cell>
        </row>
        <row r="14">
          <cell r="A14" t="str">
            <v>AMD</v>
          </cell>
          <cell r="B14" t="str">
            <v>AM Depreciation Expense</v>
          </cell>
        </row>
        <row r="15">
          <cell r="A15" t="str">
            <v>AMR</v>
          </cell>
          <cell r="B15" t="str">
            <v>AM Retirements</v>
          </cell>
        </row>
        <row r="16">
          <cell r="A16" t="str">
            <v>AMT</v>
          </cell>
          <cell r="B16" t="str">
            <v>AM Adjustments &amp; Transfers</v>
          </cell>
        </row>
        <row r="17">
          <cell r="A17" t="str">
            <v>AP</v>
          </cell>
          <cell r="B17" t="str">
            <v>AP Module Journals</v>
          </cell>
        </row>
        <row r="18">
          <cell r="A18" t="str">
            <v>APC</v>
          </cell>
          <cell r="B18" t="str">
            <v>AP Closure</v>
          </cell>
        </row>
        <row r="19">
          <cell r="A19" t="str">
            <v>APV</v>
          </cell>
          <cell r="B19" t="str">
            <v>AP Voucher Accrual</v>
          </cell>
        </row>
        <row r="20">
          <cell r="A20" t="str">
            <v>APW</v>
          </cell>
          <cell r="B20" t="str">
            <v>AP Warrant Issuance</v>
          </cell>
        </row>
        <row r="21">
          <cell r="A21" t="str">
            <v>APX</v>
          </cell>
          <cell r="B21" t="str">
            <v>AP Cancellation</v>
          </cell>
        </row>
        <row r="22">
          <cell r="A22" t="str">
            <v>APZ</v>
          </cell>
          <cell r="B22" t="str">
            <v>Warrant Cash Reclass</v>
          </cell>
        </row>
        <row r="23">
          <cell r="A23" t="str">
            <v>AR</v>
          </cell>
          <cell r="B23" t="str">
            <v>AR Module Journals</v>
          </cell>
        </row>
        <row r="24">
          <cell r="A24" t="str">
            <v>ARB</v>
          </cell>
          <cell r="B24" t="str">
            <v>AR Billing</v>
          </cell>
        </row>
        <row r="25">
          <cell r="A25" t="str">
            <v>ARD</v>
          </cell>
          <cell r="B25" t="str">
            <v>AR Direct Cash Journal</v>
          </cell>
        </row>
        <row r="26">
          <cell r="A26" t="str">
            <v>ARM</v>
          </cell>
          <cell r="B26" t="str">
            <v>AR Maintenance</v>
          </cell>
        </row>
        <row r="27">
          <cell r="A27" t="str">
            <v>ARP</v>
          </cell>
          <cell r="B27" t="str">
            <v>AR Payments</v>
          </cell>
        </row>
        <row r="28">
          <cell r="A28" t="str">
            <v>AT</v>
          </cell>
          <cell r="B28" t="str">
            <v>Property Tax Interface</v>
          </cell>
        </row>
        <row r="29">
          <cell r="A29" t="str">
            <v>BFD</v>
          </cell>
          <cell r="B29" t="str">
            <v>Balance Forwards</v>
          </cell>
        </row>
        <row r="30">
          <cell r="A30" t="str">
            <v>BI</v>
          </cell>
          <cell r="B30" t="str">
            <v>BI Module Journal</v>
          </cell>
        </row>
        <row r="31">
          <cell r="A31" t="str">
            <v>BIB</v>
          </cell>
          <cell r="B31" t="str">
            <v>BI Billing</v>
          </cell>
        </row>
        <row r="32">
          <cell r="A32" t="str">
            <v>BIU</v>
          </cell>
          <cell r="B32" t="str">
            <v>BI Accrual of Unbilled Revenue</v>
          </cell>
        </row>
        <row r="33">
          <cell r="A33" t="str">
            <v>CHA</v>
          </cell>
          <cell r="B33" t="str">
            <v>Health Interface Journals</v>
          </cell>
        </row>
        <row r="34">
          <cell r="A34" t="str">
            <v>CIV</v>
          </cell>
          <cell r="B34" t="str">
            <v>C-IV Voucher/Payments/EBT</v>
          </cell>
        </row>
        <row r="35">
          <cell r="A35" t="str">
            <v>CJ</v>
          </cell>
          <cell r="B35" t="str">
            <v>CAFR ONLY - Client Audit Adj</v>
          </cell>
        </row>
        <row r="36">
          <cell r="A36" t="str">
            <v>DBC</v>
          </cell>
          <cell r="B36" t="str">
            <v>Deposit Based Closures</v>
          </cell>
        </row>
        <row r="37">
          <cell r="A37" t="str">
            <v>DBF</v>
          </cell>
          <cell r="B37" t="str">
            <v>Deposit Based Fees</v>
          </cell>
        </row>
        <row r="38">
          <cell r="A38" t="str">
            <v>FFC</v>
          </cell>
          <cell r="B38" t="str">
            <v>Flood Control Projt Conversion</v>
          </cell>
        </row>
        <row r="39">
          <cell r="A39" t="str">
            <v>FIX</v>
          </cell>
          <cell r="B39" t="str">
            <v>Year-End Fix Up</v>
          </cell>
        </row>
        <row r="40">
          <cell r="A40" t="str">
            <v>FLD</v>
          </cell>
          <cell r="B40" t="str">
            <v>Flood-Online Interface Files</v>
          </cell>
        </row>
        <row r="41">
          <cell r="A41" t="str">
            <v>FMI</v>
          </cell>
          <cell r="B41" t="str">
            <v>Facilities Mngmnt Intfc Jrnls</v>
          </cell>
        </row>
        <row r="42">
          <cell r="A42" t="str">
            <v>FNP</v>
          </cell>
          <cell r="B42" t="str">
            <v>Flood Non-Project Payroll</v>
          </cell>
        </row>
        <row r="43">
          <cell r="A43" t="str">
            <v>GW</v>
          </cell>
          <cell r="B43" t="str">
            <v>Government-Wide(GASB34)GAAP2</v>
          </cell>
        </row>
        <row r="44">
          <cell r="A44" t="str">
            <v>HAC</v>
          </cell>
          <cell r="B44" t="str">
            <v>RCRMC Hospital Accruals</v>
          </cell>
        </row>
        <row r="45">
          <cell r="A45" t="str">
            <v>HAM</v>
          </cell>
          <cell r="B45" t="str">
            <v>Hospital Accruals Manual</v>
          </cell>
        </row>
        <row r="46">
          <cell r="A46" t="str">
            <v>IN</v>
          </cell>
          <cell r="B46" t="str">
            <v>IN Module Journals</v>
          </cell>
        </row>
        <row r="47">
          <cell r="A47" t="str">
            <v>INT</v>
          </cell>
          <cell r="B47" t="str">
            <v>Inventory Transactions</v>
          </cell>
        </row>
        <row r="48">
          <cell r="A48" t="str">
            <v>IT</v>
          </cell>
          <cell r="B48" t="str">
            <v>Treasurers Interest Apportion</v>
          </cell>
        </row>
        <row r="49">
          <cell r="A49" t="str">
            <v>ITA</v>
          </cell>
          <cell r="B49" t="str">
            <v>IT Applications Dev Support</v>
          </cell>
        </row>
        <row r="50">
          <cell r="A50" t="str">
            <v>ITD</v>
          </cell>
          <cell r="B50" t="str">
            <v>IT Data Communications Svcs</v>
          </cell>
        </row>
        <row r="51">
          <cell r="A51" t="str">
            <v>ITE</v>
          </cell>
          <cell r="B51" t="str">
            <v>IT Enterprise Solutions</v>
          </cell>
        </row>
        <row r="52">
          <cell r="A52" t="str">
            <v>ITG</v>
          </cell>
          <cell r="B52" t="str">
            <v>IT GIS</v>
          </cell>
        </row>
        <row r="53">
          <cell r="A53" t="str">
            <v>ITM</v>
          </cell>
          <cell r="B53" t="str">
            <v>IT Miscellaneous Services</v>
          </cell>
        </row>
        <row r="54">
          <cell r="A54" t="str">
            <v>ITO</v>
          </cell>
          <cell r="B54" t="str">
            <v>IT Operations Support</v>
          </cell>
        </row>
        <row r="55">
          <cell r="A55" t="str">
            <v>ITP</v>
          </cell>
          <cell r="B55" t="str">
            <v>IT Phone Journals</v>
          </cell>
        </row>
        <row r="56">
          <cell r="A56" t="str">
            <v>ITR</v>
          </cell>
          <cell r="B56" t="str">
            <v>IT Radio &amp; Electronics Svcs</v>
          </cell>
        </row>
        <row r="57">
          <cell r="A57" t="str">
            <v>ITS</v>
          </cell>
          <cell r="B57" t="str">
            <v>IT Systems Support</v>
          </cell>
        </row>
        <row r="58">
          <cell r="A58" t="str">
            <v>ITT</v>
          </cell>
          <cell r="B58" t="str">
            <v>IT Telephone Services</v>
          </cell>
        </row>
        <row r="59">
          <cell r="A59" t="str">
            <v>ITZ</v>
          </cell>
          <cell r="B59" t="str">
            <v>IT Planning &amp; Research Support</v>
          </cell>
        </row>
        <row r="60">
          <cell r="A60" t="str">
            <v>OCJ</v>
          </cell>
          <cell r="B60" t="str">
            <v>2002 CAJE(CAFR Audit Adjust)</v>
          </cell>
        </row>
        <row r="61">
          <cell r="A61" t="str">
            <v>ONL</v>
          </cell>
          <cell r="B61" t="str">
            <v>On Line Journal Entries</v>
          </cell>
        </row>
        <row r="62">
          <cell r="A62" t="str">
            <v>PC</v>
          </cell>
          <cell r="B62" t="str">
            <v>Project Costing</v>
          </cell>
        </row>
        <row r="63">
          <cell r="A63" t="str">
            <v>PCA</v>
          </cell>
          <cell r="B63" t="str">
            <v>Project Cost Adjustments</v>
          </cell>
        </row>
        <row r="64">
          <cell r="A64" t="str">
            <v>PCC</v>
          </cell>
          <cell r="B64" t="str">
            <v>Project Costing</v>
          </cell>
        </row>
        <row r="65">
          <cell r="A65" t="str">
            <v>PDW</v>
          </cell>
          <cell r="B65" t="str">
            <v>Paid Warrants Non PS</v>
          </cell>
        </row>
        <row r="66">
          <cell r="A66" t="str">
            <v>PEC</v>
          </cell>
          <cell r="B66" t="str">
            <v>PO Encumbrance Closure</v>
          </cell>
        </row>
        <row r="67">
          <cell r="A67" t="str">
            <v>PER</v>
          </cell>
          <cell r="B67" t="str">
            <v>PO Encumbrance Reversal</v>
          </cell>
        </row>
        <row r="68">
          <cell r="A68" t="str">
            <v>PFS</v>
          </cell>
          <cell r="B68" t="str">
            <v>Purchasing-Fleet Accrl Entries</v>
          </cell>
        </row>
        <row r="69">
          <cell r="A69" t="str">
            <v>PK</v>
          </cell>
          <cell r="B69" t="str">
            <v>Parks Department</v>
          </cell>
        </row>
        <row r="70">
          <cell r="A70" t="str">
            <v>PO</v>
          </cell>
          <cell r="B70" t="str">
            <v>PO Module Journals</v>
          </cell>
        </row>
        <row r="71">
          <cell r="A71" t="str">
            <v>POE</v>
          </cell>
          <cell r="B71" t="str">
            <v>PO Encumbrance</v>
          </cell>
        </row>
        <row r="72">
          <cell r="A72" t="str">
            <v>PPC</v>
          </cell>
          <cell r="B72" t="str">
            <v>PO Pre-Encumbrance Closure</v>
          </cell>
        </row>
        <row r="73">
          <cell r="A73" t="str">
            <v>PPE</v>
          </cell>
          <cell r="B73" t="str">
            <v>PO Pre-Encumbrance</v>
          </cell>
        </row>
        <row r="74">
          <cell r="A74" t="str">
            <v>PPR</v>
          </cell>
          <cell r="B74" t="str">
            <v>PO Pre-Encumbrance Reversal</v>
          </cell>
        </row>
        <row r="75">
          <cell r="A75" t="str">
            <v>PR</v>
          </cell>
          <cell r="B75" t="str">
            <v>HRMS Interface Journals</v>
          </cell>
        </row>
        <row r="76">
          <cell r="A76" t="str">
            <v>PRA</v>
          </cell>
          <cell r="B76" t="str">
            <v>Payroll Adjustments ACO</v>
          </cell>
        </row>
        <row r="77">
          <cell r="A77" t="str">
            <v>PRF</v>
          </cell>
          <cell r="B77" t="str">
            <v>Payroll Fees</v>
          </cell>
        </row>
        <row r="78">
          <cell r="A78" t="str">
            <v>PRS</v>
          </cell>
          <cell r="B78" t="str">
            <v>Payroll TAP Service Fees</v>
          </cell>
        </row>
        <row r="79">
          <cell r="A79" t="str">
            <v>PRT</v>
          </cell>
          <cell r="B79" t="str">
            <v>Printing Services</v>
          </cell>
        </row>
        <row r="80">
          <cell r="A80" t="str">
            <v>PT</v>
          </cell>
          <cell r="B80" t="str">
            <v>Property Tax Interface Refunds</v>
          </cell>
        </row>
        <row r="81">
          <cell r="A81" t="str">
            <v>PTR</v>
          </cell>
          <cell r="B81" t="str">
            <v>Property Tax  RONES</v>
          </cell>
        </row>
        <row r="82">
          <cell r="A82" t="str">
            <v>PTT</v>
          </cell>
          <cell r="B82" t="str">
            <v>Property Tax  TEETER</v>
          </cell>
        </row>
        <row r="83">
          <cell r="A83" t="str">
            <v>PUR</v>
          </cell>
          <cell r="B83" t="str">
            <v>Prch,Cntrl Mail,Flt,Prntg,Sply</v>
          </cell>
        </row>
        <row r="84">
          <cell r="A84" t="str">
            <v>RMC</v>
          </cell>
          <cell r="B84" t="str">
            <v>Medical Center Interface JE's</v>
          </cell>
        </row>
        <row r="85">
          <cell r="A85" t="str">
            <v>SPD</v>
          </cell>
          <cell r="B85" t="str">
            <v>Spreadsheet Journal Entries</v>
          </cell>
        </row>
        <row r="86">
          <cell r="A86" t="str">
            <v>STL</v>
          </cell>
          <cell r="B86" t="str">
            <v>Stale Dated Warrants</v>
          </cell>
        </row>
        <row r="87">
          <cell r="A87" t="str">
            <v>SUP</v>
          </cell>
          <cell r="B87" t="str">
            <v>Supply Services</v>
          </cell>
        </row>
        <row r="88">
          <cell r="A88" t="str">
            <v>TLC</v>
          </cell>
          <cell r="B88" t="str">
            <v>TLMA Project Conversion</v>
          </cell>
        </row>
        <row r="89">
          <cell r="A89" t="str">
            <v>TSC</v>
          </cell>
          <cell r="B89" t="str">
            <v>Treasurer School Journals</v>
          </cell>
        </row>
        <row r="90">
          <cell r="A90" t="str">
            <v>TTC</v>
          </cell>
          <cell r="B90" t="str">
            <v>Treasurer Tax Collector</v>
          </cell>
        </row>
        <row r="91">
          <cell r="A91" t="str">
            <v>UPG</v>
          </cell>
          <cell r="B91" t="str">
            <v>Upgrade-Controlled Budget Jrnl</v>
          </cell>
        </row>
        <row r="92">
          <cell r="A92" t="str">
            <v>WAC</v>
          </cell>
          <cell r="B92" t="str">
            <v>Waste Accrual Entries</v>
          </cell>
        </row>
        <row r="93">
          <cell r="A93" t="str">
            <v>WTP</v>
          </cell>
          <cell r="B93" t="str">
            <v>Warrants Paid</v>
          </cell>
        </row>
        <row r="94">
          <cell r="A94" t="str">
            <v>YE</v>
          </cell>
          <cell r="B94" t="str">
            <v>Year-End Package Journals</v>
          </cell>
        </row>
      </sheetData>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Viruega, Maria C" refreshedDate="46230.30901365741" createdVersion="8" refreshedVersion="8" minRefreshableVersion="3" recordCount="30" xr:uid="{058E33D9-8081-4A68-85AD-D6947DD59A05}">
  <cacheSource type="worksheet">
    <worksheetSource ref="A1:G31" sheet="Data"/>
  </cacheSource>
  <cacheFields count="7">
    <cacheField name="Date" numFmtId="166">
      <sharedItems containsSemiMixedTypes="0" containsNonDate="0" containsDate="1" containsString="0" minDate="2026-06-28T00:00:00" maxDate="2026-07-28T00:00:00" count="30">
        <d v="2026-06-28T00:00:00"/>
        <d v="2026-06-29T00:00:00"/>
        <d v="2026-06-30T00:00:00"/>
        <d v="2026-07-01T00:00:00"/>
        <d v="2026-07-02T00:00:00"/>
        <d v="2026-07-03T00:00:00"/>
        <d v="2026-07-04T00:00:00"/>
        <d v="2026-07-05T00:00:00"/>
        <d v="2026-07-06T00:00:00"/>
        <d v="2026-07-07T00:00:00"/>
        <d v="2026-07-08T00:00:00"/>
        <d v="2026-07-09T00:00:00"/>
        <d v="2026-07-10T00:00:00"/>
        <d v="2026-07-11T00:00:00"/>
        <d v="2026-07-12T00:00:00"/>
        <d v="2026-07-13T00:00:00"/>
        <d v="2026-07-14T00:00:00"/>
        <d v="2026-07-15T00:00:00"/>
        <d v="2026-07-16T00:00:00"/>
        <d v="2026-07-17T00:00:00"/>
        <d v="2026-07-18T00:00:00"/>
        <d v="2026-07-19T00:00:00"/>
        <d v="2026-07-20T00:00:00"/>
        <d v="2026-07-21T00:00:00"/>
        <d v="2026-07-22T00:00:00"/>
        <d v="2026-07-23T00:00:00"/>
        <d v="2026-07-24T00:00:00"/>
        <d v="2026-07-25T00:00:00"/>
        <d v="2026-07-26T00:00:00"/>
        <d v="2026-07-27T00:00:00"/>
      </sharedItems>
    </cacheField>
    <cacheField name="Beginning _x000a_Balance" numFmtId="165">
      <sharedItems containsSemiMixedTypes="0" containsString="0" containsNumber="1" minValue="429135067.55499911" maxValue="641027918.62499905"/>
    </cacheField>
    <cacheField name="Warrants Issued " numFmtId="43">
      <sharedItems containsSemiMixedTypes="0" containsString="0" containsNumber="1" minValue="-11164251.550000001" maxValue="0"/>
    </cacheField>
    <cacheField name="Cash _x000a_Receipts" numFmtId="43">
      <sharedItems containsSemiMixedTypes="0" containsString="0" containsNumber="1" minValue="0" maxValue="180720944.52000001"/>
    </cacheField>
    <cacheField name="Journal _x000a_Transfers In" numFmtId="43">
      <sharedItems containsSemiMixedTypes="0" containsString="0" containsNumber="1" minValue="0" maxValue="179540171.5"/>
    </cacheField>
    <cacheField name="Journal _x000a_Transfers Out" numFmtId="43">
      <sharedItems containsSemiMixedTypes="0" containsString="0" containsNumber="1" minValue="-180474899.72999999" maxValue="0"/>
    </cacheField>
    <cacheField name="Ending _x000a_Balance" numFmtId="165">
      <sharedItems containsSemiMixedTypes="0" containsString="0" containsNumber="1" minValue="429135067.55499911" maxValue="641027918.62499905"/>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Viruega, Maria C" refreshedDate="46230.315867245372" createdVersion="8" refreshedVersion="8" minRefreshableVersion="3" recordCount="6" xr:uid="{C60D8DBF-AF03-4B0D-AA3A-1932D1306D7C}">
  <cacheSource type="worksheet">
    <worksheetSource ref="F99:H105" sheet="Data"/>
  </cacheSource>
  <cacheFields count="3">
    <cacheField name="Account" numFmtId="0">
      <sharedItems containsSemiMixedTypes="0" containsString="0" containsNumber="1" containsInteger="1" minValue="101100" maxValue="105200"/>
    </cacheField>
    <cacheField name="Account Name" numFmtId="43">
      <sharedItems count="5">
        <s v="Cash "/>
        <s v="Restricted Cash"/>
        <s v="Imprest Cash"/>
        <s v="Investments In Lieu Of Cash"/>
        <s v="Cash With Fiscal Agent"/>
      </sharedItems>
    </cacheField>
    <cacheField name="Amount" numFmtId="165">
      <sharedItems containsString="0" containsBlank="1" containsNumber="1" minValue="715505" maxValue="16806604550.27002"/>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Viruega, Maria C" refreshedDate="46230.317357638887" createdVersion="8" refreshedVersion="8" minRefreshableVersion="3" recordCount="21" xr:uid="{2FCBEB34-4201-45C8-9EA6-CFB28322F67D}">
  <cacheSource type="worksheet">
    <worksheetSource ref="A92:D113" sheet="Data"/>
  </cacheSource>
  <cacheFields count="4">
    <cacheField name="Pool" numFmtId="0">
      <sharedItems count="21">
        <s v="3rd Party"/>
        <s v="CFD - Community Facility District"/>
        <s v="Funds to Close"/>
        <s v="County Service Area (CSA)"/>
        <s v="Cash with Fiscal Agent"/>
        <s v="Deferred Compensation"/>
        <s v="Enterprise Funds"/>
        <s v="Flood Control"/>
        <s v="General Fund"/>
        <s v="General Restricted Sub-fund"/>
        <s v="General Unrestricted Sub-fund"/>
        <s v="Internal Service Funds"/>
        <s v="Parks"/>
        <s v="Restricted Assets"/>
        <s v="RDA"/>
        <s v="Restricted General Fund"/>
        <s v="Special Districts"/>
        <s v="Transportation"/>
        <s v="Unrestricted General Funds"/>
        <s v="WRMD"/>
        <s v="Warrant Clearing"/>
      </sharedItems>
    </cacheField>
    <cacheField name="Pool Contribution " numFmtId="43">
      <sharedItems containsSemiMixedTypes="0" containsString="0" containsNumber="1" minValue="-419130.18" maxValue="10574476021.25"/>
    </cacheField>
    <cacheField name="Interest to GF" numFmtId="0">
      <sharedItems containsSemiMixedTypes="0" containsString="0" containsNumber="1" minValue="0" maxValue="549801253.87"/>
    </cacheField>
    <cacheField name="Interest Not to GF" numFmtId="165">
      <sharedItems containsSemiMixedTypes="0" containsString="0" containsNumber="1" minValue="-578486.89" maxValue="10349137539.98"/>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Viruega, Maria C" refreshedDate="46230.317763888888" createdVersion="8" refreshedVersion="8" minRefreshableVersion="3" recordCount="10" xr:uid="{F2FD10B6-0355-4D8A-8C8B-8A7378AEB281}">
  <cacheSource type="worksheet">
    <worksheetSource ref="A41:B51" sheet="Data"/>
  </cacheSource>
  <cacheFields count="2">
    <cacheField name="Fund " numFmtId="0">
      <sharedItems containsBlank="1" count="15">
        <s v="Capital Projects Fund"/>
        <s v="Debt Service Fund"/>
        <s v="Enterprise Funds (Hospital)"/>
        <s v="Enterprise Funds (Clinics)"/>
        <s v="Enterprise Funds"/>
        <s v="General Fund (Subfund)"/>
        <s v="Internal Service Funds"/>
        <s v="Special Revenue (CSA's)"/>
        <s v="Special Revenue (Transport)"/>
        <s v="Special Revenue Fund"/>
        <m u="1"/>
        <s v="Enterprise Funds (Hospital/Clinics)" u="1"/>
        <s v="Enterprise Funds (Hospital) Enterprise Funds" u="1"/>
        <s v="General Fund(Subfund)" u="1"/>
        <s v="Enterprise Funds (Hospital/Clinics) Enterprise Funds" u="1"/>
      </sharedItems>
    </cacheField>
    <cacheField name="Amount" numFmtId="43">
      <sharedItems containsSemiMixedTypes="0" containsString="0" containsNumber="1" minValue="8975335.0600000005" maxValue="860434492.75"/>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Viruega, Maria C" refreshedDate="46230.317803703707" createdVersion="8" refreshedVersion="8" minRefreshableVersion="3" recordCount="3" xr:uid="{599E4BC3-5D3B-4F9E-9EE8-B87C9B57EC55}">
  <cacheSource type="worksheet">
    <worksheetSource ref="A69:B72" sheet="Data"/>
  </cacheSource>
  <cacheFields count="2">
    <cacheField name="Funds" numFmtId="0">
      <sharedItems count="3">
        <s v="Total Available Funds"/>
        <s v="Total Funds with Borrowing Restrictions"/>
        <s v="General Fund Balance"/>
      </sharedItems>
    </cacheField>
    <cacheField name="Amount" numFmtId="3">
      <sharedItems containsSemiMixedTypes="0" containsString="0" containsNumber="1" minValue="549801253.98499894" maxValue="13590722484.650005"/>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0">
  <r>
    <x v="0"/>
    <n v="432281549.83499914"/>
    <n v="0"/>
    <n v="0"/>
    <n v="0"/>
    <n v="0"/>
    <n v="432281549.83499914"/>
  </r>
  <r>
    <x v="1"/>
    <n v="432281549.83499914"/>
    <n v="-4235041.16"/>
    <n v="913775.46"/>
    <n v="174783.42"/>
    <n v="0"/>
    <n v="429135067.55499911"/>
  </r>
  <r>
    <x v="2"/>
    <n v="429135067.55499911"/>
    <n v="-22741.08"/>
    <n v="10803595.470000001"/>
    <n v="936279"/>
    <n v="-10080298.880000001"/>
    <n v="430771902.06499916"/>
  </r>
  <r>
    <x v="3"/>
    <n v="430771902.06499916"/>
    <n v="-19153.2"/>
    <n v="9961228.3000000007"/>
    <n v="131803103.51000001"/>
    <n v="-16422823.34"/>
    <n v="556094257.3349992"/>
  </r>
  <r>
    <x v="4"/>
    <n v="556094257.3349992"/>
    <n v="-677212.65"/>
    <n v="62404319.68"/>
    <n v="167632.31"/>
    <n v="-1702219.87"/>
    <n v="616286776.80499911"/>
  </r>
  <r>
    <x v="5"/>
    <n v="616286776.80499911"/>
    <n v="0"/>
    <n v="0"/>
    <n v="0"/>
    <n v="0"/>
    <n v="616286776.80499911"/>
  </r>
  <r>
    <x v="6"/>
    <n v="616286776.80499911"/>
    <n v="0"/>
    <n v="0"/>
    <n v="0"/>
    <n v="0"/>
    <n v="616286776.80499911"/>
  </r>
  <r>
    <x v="7"/>
    <n v="616286776.80499911"/>
    <n v="0"/>
    <n v="0"/>
    <n v="0"/>
    <n v="0"/>
    <n v="616286776.80499911"/>
  </r>
  <r>
    <x v="8"/>
    <n v="616286776.80499911"/>
    <n v="-860814.23"/>
    <n v="22129673.879999999"/>
    <n v="11914391.24"/>
    <n v="-158731971.53"/>
    <n v="490738056.16499913"/>
  </r>
  <r>
    <x v="9"/>
    <n v="490738056.16499913"/>
    <n v="-1963166.97"/>
    <n v="22043.39"/>
    <n v="1536007.09"/>
    <n v="-28249255.359999999"/>
    <n v="462083684.31499904"/>
  </r>
  <r>
    <x v="10"/>
    <n v="462083684.31499904"/>
    <n v="-2933002.89"/>
    <n v="180720944.52000001"/>
    <n v="1321431.8999999999"/>
    <n v="-165139.22"/>
    <n v="641027918.62499905"/>
  </r>
  <r>
    <x v="11"/>
    <n v="641027918.62499905"/>
    <n v="-1596339.5"/>
    <n v="2013947.58"/>
    <n v="6669251.0499999998"/>
    <n v="-16357309.779999999"/>
    <n v="631757467.97499907"/>
  </r>
  <r>
    <x v="12"/>
    <n v="631757467.97499907"/>
    <n v="-2899947.03"/>
    <n v="10179454.449999999"/>
    <n v="2009531.15"/>
    <n v="-89998832.310000002"/>
    <n v="551047674.23499918"/>
  </r>
  <r>
    <x v="13"/>
    <n v="551047674.23499918"/>
    <n v="0"/>
    <n v="0"/>
    <n v="0"/>
    <n v="0"/>
    <n v="551047674.23499918"/>
  </r>
  <r>
    <x v="14"/>
    <n v="551047674.23499918"/>
    <n v="0"/>
    <n v="0"/>
    <n v="0"/>
    <n v="0"/>
    <n v="551047674.23499918"/>
  </r>
  <r>
    <x v="15"/>
    <n v="551047674.23499918"/>
    <n v="-5653068.6100000003"/>
    <n v="2138666.36"/>
    <n v="0"/>
    <n v="-121283.2"/>
    <n v="547411988.78499913"/>
  </r>
  <r>
    <x v="16"/>
    <n v="547411988.78499913"/>
    <n v="-5517367.0199999996"/>
    <n v="6805806.5899999999"/>
    <n v="34534909.030000001"/>
    <n v="-1616217.81"/>
    <n v="581619119.57499921"/>
  </r>
  <r>
    <x v="17"/>
    <n v="581619119.57499921"/>
    <n v="-4022354.47"/>
    <n v="6322577.3799999999"/>
    <n v="602731.77"/>
    <n v="-1725397.64"/>
    <n v="582796676.61499918"/>
  </r>
  <r>
    <x v="18"/>
    <n v="582796676.61499918"/>
    <n v="-8015370.4500000002"/>
    <n v="7838651.7300000004"/>
    <n v="179540171.5"/>
    <n v="-180474899.72999999"/>
    <n v="581685229.66499913"/>
  </r>
  <r>
    <x v="19"/>
    <n v="581685229.66499913"/>
    <n v="-5623808.2199999988"/>
    <n v="5581445.8200000003"/>
    <n v="5410471.4100000001"/>
    <n v="-25837598.710000001"/>
    <n v="561215739.96499908"/>
  </r>
  <r>
    <x v="20"/>
    <n v="561215739.96499908"/>
    <n v="0"/>
    <n v="0"/>
    <n v="0"/>
    <n v="0"/>
    <n v="561215739.96499908"/>
  </r>
  <r>
    <x v="21"/>
    <n v="561215739.96499908"/>
    <n v="0"/>
    <n v="0"/>
    <n v="0"/>
    <n v="0"/>
    <n v="561215739.96499908"/>
  </r>
  <r>
    <x v="22"/>
    <n v="561215739.96499908"/>
    <n v="-3982923.23"/>
    <n v="1773436.37"/>
    <n v="19116579.059999999"/>
    <n v="-3510823.27"/>
    <n v="574612008.89499903"/>
  </r>
  <r>
    <x v="23"/>
    <n v="574612008.89499903"/>
    <n v="-2632720.08"/>
    <n v="103686.9"/>
    <n v="843107.48"/>
    <n v="-1136096.27"/>
    <n v="571789986.924999"/>
  </r>
  <r>
    <x v="24"/>
    <n v="571789986.924999"/>
    <n v="-11164251.550000001"/>
    <n v="2584998.7799999998"/>
    <n v="12141317.83"/>
    <n v="-1440734.01"/>
    <n v="573911317.97499907"/>
  </r>
  <r>
    <x v="25"/>
    <n v="573911317.97499907"/>
    <n v="-3592839.94"/>
    <n v="189834.43"/>
    <n v="11876391.68"/>
    <n v="-7944863.3399999999"/>
    <n v="574439840.80499887"/>
  </r>
  <r>
    <x v="26"/>
    <n v="574439840.80499887"/>
    <n v="-1693271.42"/>
    <n v="8630375.6999999993"/>
    <n v="4164022"/>
    <n v="-33952991.490000002"/>
    <n v="551587975.59499896"/>
  </r>
  <r>
    <x v="27"/>
    <n v="551587975.59499896"/>
    <n v="0"/>
    <n v="0"/>
    <n v="0"/>
    <n v="0"/>
    <n v="551587975.59499896"/>
  </r>
  <r>
    <x v="28"/>
    <n v="551587975.59499896"/>
    <n v="0"/>
    <n v="0"/>
    <n v="0"/>
    <n v="0"/>
    <n v="551587975.59499896"/>
  </r>
  <r>
    <x v="29"/>
    <n v="551587975.59499896"/>
    <n v="-2966154.9"/>
    <n v="1179433.29"/>
    <n v="0"/>
    <n v="0"/>
    <n v="549801253.98499894"/>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
  <r>
    <n v="101100"/>
    <x v="0"/>
    <n v="16806604550.27002"/>
  </r>
  <r>
    <n v="101101"/>
    <x v="1"/>
    <n v="106898633.97"/>
  </r>
  <r>
    <n v="101200"/>
    <x v="2"/>
    <n v="715505"/>
  </r>
  <r>
    <n v="105100"/>
    <x v="3"/>
    <n v="986080"/>
  </r>
  <r>
    <n v="105200"/>
    <x v="1"/>
    <m/>
  </r>
  <r>
    <n v="101500"/>
    <x v="4"/>
    <n v="179847909.87"/>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1">
  <r>
    <x v="0"/>
    <n v="10574476021.25"/>
    <n v="225338481.27000001"/>
    <n v="10349137539.98"/>
  </r>
  <r>
    <x v="1"/>
    <n v="15776256.42"/>
    <n v="0"/>
    <n v="15776256.42"/>
  </r>
  <r>
    <x v="2"/>
    <n v="0"/>
    <n v="0"/>
    <n v="0"/>
  </r>
  <r>
    <x v="3"/>
    <n v="62229930.950000003"/>
    <n v="135987.79999999999"/>
    <n v="62093943.150000006"/>
  </r>
  <r>
    <x v="4"/>
    <n v="45774320.960000001"/>
    <n v="0"/>
    <n v="45774320.960000001"/>
  </r>
  <r>
    <x v="5"/>
    <n v="0"/>
    <n v="0"/>
    <n v="0"/>
  </r>
  <r>
    <x v="6"/>
    <n v="-419130.18"/>
    <n v="159356.71"/>
    <n v="-578486.89"/>
  </r>
  <r>
    <x v="7"/>
    <n v="373379566.51999998"/>
    <n v="0"/>
    <n v="373379566.51999998"/>
  </r>
  <r>
    <x v="8"/>
    <n v="549801253.87"/>
    <n v="549801253.87"/>
    <n v="0"/>
  </r>
  <r>
    <x v="9"/>
    <n v="811439316.51999998"/>
    <n v="435804592.73000002"/>
    <n v="375634723.78999996"/>
  </r>
  <r>
    <x v="10"/>
    <n v="48257444.909999996"/>
    <n v="33391086.16"/>
    <n v="14866358.749999996"/>
  </r>
  <r>
    <x v="11"/>
    <n v="1131488.2"/>
    <n v="1127367.07"/>
    <n v="4121.1299999998882"/>
  </r>
  <r>
    <x v="12"/>
    <n v="26723521.059999999"/>
    <n v="0"/>
    <n v="26723521.059999999"/>
  </r>
  <r>
    <x v="13"/>
    <n v="64820029.520000003"/>
    <n v="0"/>
    <n v="64820029.520000003"/>
  </r>
  <r>
    <x v="14"/>
    <n v="11853952.57"/>
    <n v="0"/>
    <n v="11853952.57"/>
  </r>
  <r>
    <x v="15"/>
    <n v="770194381.46000004"/>
    <n v="40978600.950000003"/>
    <n v="729215780.50999999"/>
  </r>
  <r>
    <x v="16"/>
    <n v="2097505695.3099999"/>
    <n v="1506546.99"/>
    <n v="2095999148.3199999"/>
  </r>
  <r>
    <x v="17"/>
    <n v="198109965.63"/>
    <n v="5495853.9500000002"/>
    <n v="192614111.68000001"/>
  </r>
  <r>
    <x v="18"/>
    <n v="912198090.75"/>
    <n v="285836363.81"/>
    <n v="626361726.94000006"/>
  </r>
  <r>
    <x v="19"/>
    <n v="138059927.97"/>
    <n v="3161.56"/>
    <n v="138056766.41"/>
  </r>
  <r>
    <x v="20"/>
    <n v="213892735.72999999"/>
    <n v="213892735.72999999"/>
    <n v="0"/>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n v="292133635.87"/>
  </r>
  <r>
    <x v="1"/>
    <n v="154189331.34999999"/>
  </r>
  <r>
    <x v="2"/>
    <n v="94036176.390000001"/>
  </r>
  <r>
    <x v="3"/>
    <n v="225335596.71000001"/>
  </r>
  <r>
    <x v="4"/>
    <n v="8975335.0600000005"/>
  </r>
  <r>
    <x v="5"/>
    <n v="860434492.75"/>
  </r>
  <r>
    <x v="6"/>
    <n v="441321877.75999999"/>
  </r>
  <r>
    <x v="7"/>
    <n v="66254218.960000001"/>
  </r>
  <r>
    <x v="8"/>
    <n v="213869713.56999999"/>
  </r>
  <r>
    <x v="9"/>
    <n v="418130652.36000001"/>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
  <r>
    <x v="0"/>
    <n v="2774681030.7800002"/>
  </r>
  <r>
    <x v="1"/>
    <n v="13590722484.650005"/>
  </r>
  <r>
    <x v="2"/>
    <n v="549801253.98499894"/>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4BF0CD6-FA26-43B8-9F8A-E628C5119D7F}" name="PivotTable7" cacheId="6"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11" rowHeaderCaption="Account Name">
  <location ref="G111:H117" firstHeaderRow="1" firstDataRow="1" firstDataCol="1"/>
  <pivotFields count="3">
    <pivotField showAll="0"/>
    <pivotField axis="axisRow" showAll="0">
      <items count="6">
        <item x="0"/>
        <item x="2"/>
        <item x="3"/>
        <item x="1"/>
        <item x="4"/>
        <item t="default"/>
      </items>
    </pivotField>
    <pivotField dataField="1" numFmtId="165" showAll="0"/>
  </pivotFields>
  <rowFields count="1">
    <field x="1"/>
  </rowFields>
  <rowItems count="6">
    <i>
      <x/>
    </i>
    <i>
      <x v="1"/>
    </i>
    <i>
      <x v="2"/>
    </i>
    <i>
      <x v="3"/>
    </i>
    <i>
      <x v="4"/>
    </i>
    <i t="grand">
      <x/>
    </i>
  </rowItems>
  <colItems count="1">
    <i/>
  </colItems>
  <dataFields count="1">
    <dataField name="Sum of Amount" fld="2" baseField="0" baseItem="0" numFmtId="43"/>
  </dataFields>
  <formats count="4">
    <format dxfId="3">
      <pivotArea outline="0" collapsedLevelsAreSubtotals="1" fieldPosition="0"/>
    </format>
    <format dxfId="2">
      <pivotArea dataOnly="0" labelOnly="1" outline="0" axis="axisValues" fieldPosition="0"/>
    </format>
    <format dxfId="1">
      <pivotArea collapsedLevelsAreSubtotals="1" fieldPosition="0">
        <references count="1">
          <reference field="1" count="0"/>
        </references>
      </pivotArea>
    </format>
    <format dxfId="0">
      <pivotArea grandRow="1" outline="0" collapsedLevelsAreSubtotals="1" fieldPosition="0"/>
    </format>
  </formats>
  <chartFormats count="6">
    <chartFormat chart="10" format="4" series="1">
      <pivotArea type="data" outline="0" fieldPosition="0">
        <references count="1">
          <reference field="4294967294" count="1" selected="0">
            <x v="0"/>
          </reference>
        </references>
      </pivotArea>
    </chartFormat>
    <chartFormat chart="10" format="5">
      <pivotArea type="data" outline="0" fieldPosition="0">
        <references count="2">
          <reference field="4294967294" count="1" selected="0">
            <x v="0"/>
          </reference>
          <reference field="1" count="1" selected="0">
            <x v="0"/>
          </reference>
        </references>
      </pivotArea>
    </chartFormat>
    <chartFormat chart="10" format="6">
      <pivotArea type="data" outline="0" fieldPosition="0">
        <references count="2">
          <reference field="4294967294" count="1" selected="0">
            <x v="0"/>
          </reference>
          <reference field="1" count="1" selected="0">
            <x v="1"/>
          </reference>
        </references>
      </pivotArea>
    </chartFormat>
    <chartFormat chart="10" format="7">
      <pivotArea type="data" outline="0" fieldPosition="0">
        <references count="2">
          <reference field="4294967294" count="1" selected="0">
            <x v="0"/>
          </reference>
          <reference field="1" count="1" selected="0">
            <x v="2"/>
          </reference>
        </references>
      </pivotArea>
    </chartFormat>
    <chartFormat chart="10" format="8">
      <pivotArea type="data" outline="0" fieldPosition="0">
        <references count="2">
          <reference field="4294967294" count="1" selected="0">
            <x v="0"/>
          </reference>
          <reference field="1" count="1" selected="0">
            <x v="3"/>
          </reference>
        </references>
      </pivotArea>
    </chartFormat>
    <chartFormat chart="10" format="9">
      <pivotArea type="data" outline="0" fieldPosition="0">
        <references count="2">
          <reference field="4294967294" count="1" selected="0">
            <x v="0"/>
          </reference>
          <reference field="1" count="1" selected="0">
            <x v="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F93B4A-2D75-4B60-BE7F-2BE4FA461521}" name="PivotTable6" cacheId="7"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4" rowHeaderCaption="Pool ">
  <location ref="A117:D139" firstHeaderRow="0" firstDataRow="1" firstDataCol="1"/>
  <pivotFields count="4">
    <pivotField axis="axisRow" showAll="0">
      <items count="22">
        <item x="0"/>
        <item x="4"/>
        <item x="1"/>
        <item x="3"/>
        <item x="5"/>
        <item x="6"/>
        <item x="7"/>
        <item x="2"/>
        <item x="8"/>
        <item x="9"/>
        <item x="10"/>
        <item x="11"/>
        <item x="12"/>
        <item x="14"/>
        <item x="13"/>
        <item x="15"/>
        <item x="16"/>
        <item x="17"/>
        <item x="18"/>
        <item x="20"/>
        <item x="19"/>
        <item t="default"/>
      </items>
    </pivotField>
    <pivotField dataField="1" numFmtId="43" showAll="0"/>
    <pivotField dataField="1" numFmtId="43" showAll="0"/>
    <pivotField dataField="1" numFmtId="43" showAll="0"/>
  </pivotFields>
  <rowFields count="1">
    <field x="0"/>
  </rowFields>
  <rowItems count="22">
    <i>
      <x/>
    </i>
    <i>
      <x v="1"/>
    </i>
    <i>
      <x v="2"/>
    </i>
    <i>
      <x v="3"/>
    </i>
    <i>
      <x v="4"/>
    </i>
    <i>
      <x v="5"/>
    </i>
    <i>
      <x v="6"/>
    </i>
    <i>
      <x v="7"/>
    </i>
    <i>
      <x v="8"/>
    </i>
    <i>
      <x v="9"/>
    </i>
    <i>
      <x v="10"/>
    </i>
    <i>
      <x v="11"/>
    </i>
    <i>
      <x v="12"/>
    </i>
    <i>
      <x v="13"/>
    </i>
    <i>
      <x v="14"/>
    </i>
    <i>
      <x v="15"/>
    </i>
    <i>
      <x v="16"/>
    </i>
    <i>
      <x v="17"/>
    </i>
    <i>
      <x v="18"/>
    </i>
    <i>
      <x v="19"/>
    </i>
    <i>
      <x v="20"/>
    </i>
    <i t="grand">
      <x/>
    </i>
  </rowItems>
  <colFields count="1">
    <field x="-2"/>
  </colFields>
  <colItems count="3">
    <i>
      <x/>
    </i>
    <i i="1">
      <x v="1"/>
    </i>
    <i i="2">
      <x v="2"/>
    </i>
  </colItems>
  <dataFields count="3">
    <dataField name=" Pool Contribution " fld="1" baseField="0" baseItem="0"/>
    <dataField name=" Interest to GF" fld="2" baseField="0" baseItem="0"/>
    <dataField name=" Interest Not to GF" fld="3" baseField="0" baseItem="0"/>
  </dataFields>
  <formats count="3">
    <format dxfId="6">
      <pivotArea outline="0" collapsedLevelsAreSubtotals="1" fieldPosition="0"/>
    </format>
    <format dxfId="5">
      <pivotArea collapsedLevelsAreSubtotals="1" fieldPosition="0">
        <references count="2">
          <reference field="4294967294" count="1" selected="0">
            <x v="2"/>
          </reference>
          <reference field="0" count="0"/>
        </references>
      </pivotArea>
    </format>
    <format dxfId="4">
      <pivotArea collapsedLevelsAreSubtotals="1" fieldPosition="0">
        <references count="2">
          <reference field="4294967294" count="1" selected="0">
            <x v="0"/>
          </reference>
          <reference field="0"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A36DA7AD-62A8-438C-B7E6-793C3C63EA22}" name="PivotTable2" cacheId="9"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24" rowHeaderCaption="Funds">
  <location ref="D53:E57" firstHeaderRow="1" firstDataRow="1" firstDataCol="1"/>
  <pivotFields count="2">
    <pivotField axis="axisRow" showAll="0">
      <items count="4">
        <item x="2"/>
        <item n="Total Available Funds for Borrowing" x="0"/>
        <item x="1"/>
        <item t="default"/>
      </items>
    </pivotField>
    <pivotField dataField="1" numFmtId="43" showAll="0"/>
  </pivotFields>
  <rowFields count="1">
    <field x="0"/>
  </rowFields>
  <rowItems count="4">
    <i>
      <x/>
    </i>
    <i>
      <x v="1"/>
    </i>
    <i>
      <x v="2"/>
    </i>
    <i t="grand">
      <x/>
    </i>
  </rowItems>
  <colItems count="1">
    <i/>
  </colItems>
  <dataFields count="1">
    <dataField name=" Amount" fld="1" baseField="0" baseItem="0"/>
  </dataFields>
  <formats count="8">
    <format dxfId="14">
      <pivotArea collapsedLevelsAreSubtotals="1" fieldPosition="0">
        <references count="2">
          <reference field="4294967294" count="1" selected="0">
            <x v="0"/>
          </reference>
          <reference field="0" count="0"/>
        </references>
      </pivotArea>
    </format>
    <format dxfId="13">
      <pivotArea collapsedLevelsAreSubtotals="1" fieldPosition="0">
        <references count="1">
          <reference field="0" count="1">
            <x v="0"/>
          </reference>
        </references>
      </pivotArea>
    </format>
    <format dxfId="12">
      <pivotArea collapsedLevelsAreSubtotals="1" fieldPosition="0">
        <references count="1">
          <reference field="0" count="0"/>
        </references>
      </pivotArea>
    </format>
    <format dxfId="11">
      <pivotArea dataOnly="0" grandRow="1" fieldPosition="0"/>
    </format>
    <format dxfId="10">
      <pivotArea collapsedLevelsAreSubtotals="1" fieldPosition="0">
        <references count="1">
          <reference field="0" count="0"/>
        </references>
      </pivotArea>
    </format>
    <format dxfId="9">
      <pivotArea collapsedLevelsAreSubtotals="1" fieldPosition="0">
        <references count="1">
          <reference field="0" count="0"/>
        </references>
      </pivotArea>
    </format>
    <format dxfId="8">
      <pivotArea dataOnly="0" labelOnly="1" fieldPosition="0">
        <references count="1">
          <reference field="0" count="0"/>
        </references>
      </pivotArea>
    </format>
    <format dxfId="7">
      <pivotArea grandRow="1" outline="0" collapsedLevelsAreSubtotals="1" fieldPosition="0"/>
    </format>
  </formats>
  <chartFormats count="4">
    <chartFormat chart="6" format="5" series="1">
      <pivotArea type="data" outline="0" fieldPosition="0">
        <references count="1">
          <reference field="4294967294" count="1" selected="0">
            <x v="0"/>
          </reference>
        </references>
      </pivotArea>
    </chartFormat>
    <chartFormat chart="6" format="6">
      <pivotArea type="data" outline="0" fieldPosition="0">
        <references count="2">
          <reference field="4294967294" count="1" selected="0">
            <x v="0"/>
          </reference>
          <reference field="0" count="1" selected="0">
            <x v="0"/>
          </reference>
        </references>
      </pivotArea>
    </chartFormat>
    <chartFormat chart="6" format="7">
      <pivotArea type="data" outline="0" fieldPosition="0">
        <references count="2">
          <reference field="4294967294" count="1" selected="0">
            <x v="0"/>
          </reference>
          <reference field="0" count="1" selected="0">
            <x v="1"/>
          </reference>
        </references>
      </pivotArea>
    </chartFormat>
    <chartFormat chart="6" format="8">
      <pivotArea type="data" outline="0" fieldPosition="0">
        <references count="2">
          <reference field="4294967294" count="1" selected="0">
            <x v="0"/>
          </reference>
          <reference field="0"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55BD2E04-2777-471E-9D37-B0E57573A886}" name="PivotTable1" cacheId="8"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20">
  <location ref="D40:E51" firstHeaderRow="1" firstDataRow="1" firstDataCol="1"/>
  <pivotFields count="2">
    <pivotField axis="axisRow" showAll="0">
      <items count="16">
        <item x="0"/>
        <item x="1"/>
        <item x="4"/>
        <item m="1" x="12"/>
        <item m="1" x="13"/>
        <item x="5"/>
        <item x="6"/>
        <item x="7"/>
        <item x="8"/>
        <item x="9"/>
        <item m="1" x="14"/>
        <item m="1" x="11"/>
        <item m="1" x="10"/>
        <item x="2"/>
        <item x="3"/>
        <item t="default"/>
      </items>
    </pivotField>
    <pivotField dataField="1" showAll="0"/>
  </pivotFields>
  <rowFields count="1">
    <field x="0"/>
  </rowFields>
  <rowItems count="11">
    <i>
      <x/>
    </i>
    <i>
      <x v="1"/>
    </i>
    <i>
      <x v="2"/>
    </i>
    <i>
      <x v="5"/>
    </i>
    <i>
      <x v="6"/>
    </i>
    <i>
      <x v="7"/>
    </i>
    <i>
      <x v="8"/>
    </i>
    <i>
      <x v="9"/>
    </i>
    <i>
      <x v="13"/>
    </i>
    <i>
      <x v="14"/>
    </i>
    <i t="grand">
      <x/>
    </i>
  </rowItems>
  <colItems count="1">
    <i/>
  </colItems>
  <dataFields count="1">
    <dataField name="Sum of Amount" fld="1" baseField="0" baseItem="0" numFmtId="37"/>
  </dataFields>
  <formats count="4">
    <format dxfId="18">
      <pivotArea dataOnly="0" fieldPosition="0">
        <references count="1">
          <reference field="0" count="0"/>
        </references>
      </pivotArea>
    </format>
    <format dxfId="17">
      <pivotArea outline="0" collapsedLevelsAreSubtotals="1" fieldPosition="0"/>
    </format>
    <format dxfId="16">
      <pivotArea dataOnly="0" labelOnly="1" outline="0" axis="axisValues" fieldPosition="0"/>
    </format>
    <format dxfId="15">
      <pivotArea collapsedLevelsAreSubtotals="1" fieldPosition="0">
        <references count="1">
          <reference field="0" count="1">
            <x v="1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FE88A1AB-C8FE-41AD-A517-9EEC9F105F3A}" name="PivotTable9" cacheId="5" applyNumberFormats="0" applyBorderFormats="0" applyFontFormats="0" applyPatternFormats="0" applyAlignmentFormats="0" applyWidthHeightFormats="1" dataCaption="Values" updatedVersion="8" minRefreshableVersion="3" useAutoFormatting="1" rowGrandTotals="0" colGrandTotals="0" itemPrintTitles="1" createdVersion="8" indent="0" compact="0" compactData="0" multipleFieldFilters="0" chartFormat="7">
  <location ref="H3:I33" firstHeaderRow="1" firstDataRow="1" firstDataCol="1"/>
  <pivotFields count="7">
    <pivotField axis="axisRow" compact="0" numFmtId="166" outline="0" showAll="0" defaultSubtotal="0">
      <items count="30">
        <item x="0"/>
        <item x="1"/>
        <item x="2"/>
        <item x="3"/>
        <item x="4"/>
        <item x="5"/>
        <item x="6"/>
        <item x="7"/>
        <item x="8"/>
        <item x="9"/>
        <item x="10"/>
        <item x="11"/>
        <item x="12"/>
        <item x="13"/>
        <item x="14"/>
        <item x="15"/>
        <item x="16"/>
        <item x="17"/>
        <item x="18"/>
        <item x="19"/>
        <item x="20"/>
        <item x="21"/>
        <item x="22"/>
        <item x="23"/>
        <item x="24"/>
        <item x="25"/>
        <item x="26"/>
        <item x="27"/>
        <item x="28"/>
        <item x="29"/>
      </items>
    </pivotField>
    <pivotField compact="0" numFmtId="43" outline="0" showAll="0" defaultSubtotal="0"/>
    <pivotField compact="0" numFmtId="43" outline="0" showAll="0" defaultSubtotal="0"/>
    <pivotField compact="0" numFmtId="43" outline="0" showAll="0" defaultSubtotal="0"/>
    <pivotField compact="0" numFmtId="43" outline="0" showAll="0" defaultSubtotal="0"/>
    <pivotField compact="0" numFmtId="43" outline="0" showAll="0" defaultSubtotal="0"/>
    <pivotField dataField="1" compact="0" numFmtId="43" outline="0" showAll="0" defaultSubtotal="0"/>
  </pivotFields>
  <rowFields count="1">
    <field x="0"/>
  </rowFields>
  <rowItems count="3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rowItems>
  <colItems count="1">
    <i/>
  </colItems>
  <dataFields count="1">
    <dataField name="Sum of Ending _x000a_Balance" fld="6" baseField="0" baseItem="0" numFmtId="165"/>
  </dataFields>
  <formats count="6">
    <format dxfId="24">
      <pivotArea outline="0" collapsedLevelsAreSubtotals="1" fieldPosition="0"/>
    </format>
    <format dxfId="23">
      <pivotArea dataOnly="0" labelOnly="1" outline="0" axis="axisValues" fieldPosition="0"/>
    </format>
    <format dxfId="22">
      <pivotArea type="all" dataOnly="0" outline="0" fieldPosition="0"/>
    </format>
    <format dxfId="21">
      <pivotArea outline="0" collapsedLevelsAreSubtotals="1" fieldPosition="0"/>
    </format>
    <format dxfId="20">
      <pivotArea field="0" type="button" dataOnly="0" labelOnly="1" outline="0" axis="axisRow" fieldPosition="0"/>
    </format>
    <format dxfId="19">
      <pivotArea dataOnly="0" labelOnly="1" outline="0" axis="axisValues" fieldPosition="0"/>
    </format>
  </formats>
  <chartFormats count="1">
    <chartFormat chart="3"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835DD996-7E85-4542-9629-1BDC05BDC43A}" name="PivotTable10" cacheId="5" applyNumberFormats="0" applyBorderFormats="0" applyFontFormats="0" applyPatternFormats="0" applyAlignmentFormats="0" applyWidthHeightFormats="1" dataCaption="Values" updatedVersion="8" minRefreshableVersion="3" useAutoFormatting="1" rowGrandTotals="0" colGrandTotals="0" itemPrintTitles="1" createdVersion="8" indent="0" compact="0" compactData="0" multipleFieldFilters="0" chartFormat="10">
  <location ref="L4:M5" firstHeaderRow="1" firstDataRow="1" firstDataCol="1"/>
  <pivotFields count="7">
    <pivotField axis="axisRow" compact="0" numFmtId="166" outline="0" showAll="0" defaultSubtotal="0">
      <items count="30">
        <item x="0"/>
        <item x="1"/>
        <item x="2"/>
        <item x="3"/>
        <item x="4"/>
        <item x="5"/>
        <item x="6"/>
        <item x="7"/>
        <item x="8"/>
        <item x="9"/>
        <item x="10"/>
        <item x="11"/>
        <item x="12"/>
        <item x="13"/>
        <item x="14"/>
        <item x="15"/>
        <item x="16"/>
        <item x="17"/>
        <item x="18"/>
        <item x="19"/>
        <item x="20"/>
        <item x="21"/>
        <item x="22"/>
        <item x="23"/>
        <item x="24"/>
        <item x="25"/>
        <item x="26"/>
        <item x="27"/>
        <item x="28"/>
        <item x="29"/>
      </items>
    </pivotField>
    <pivotField compact="0" numFmtId="43" outline="0" showAll="0" defaultSubtotal="0"/>
    <pivotField compact="0" numFmtId="43" outline="0" showAll="0" defaultSubtotal="0"/>
    <pivotField compact="0" numFmtId="43" outline="0" showAll="0" defaultSubtotal="0"/>
    <pivotField compact="0" numFmtId="43" outline="0" showAll="0" defaultSubtotal="0"/>
    <pivotField compact="0" numFmtId="43" outline="0" showAll="0" defaultSubtotal="0"/>
    <pivotField dataField="1" compact="0" numFmtId="43" outline="0" showAll="0" defaultSubtotal="0"/>
  </pivotFields>
  <rowFields count="1">
    <field x="0"/>
  </rowFields>
  <rowItems count="1">
    <i>
      <x v="29"/>
    </i>
  </rowItems>
  <colItems count="1">
    <i/>
  </colItems>
  <dataFields count="1">
    <dataField name="Sum of Ending _x000a_Balance" fld="6" baseField="0" baseItem="0" numFmtId="167"/>
  </dataFields>
  <formats count="6">
    <format dxfId="30">
      <pivotArea outline="0" collapsedLevelsAreSubtotals="1" fieldPosition="0"/>
    </format>
    <format dxfId="29">
      <pivotArea dataOnly="0" labelOnly="1" outline="0" axis="axisValues" fieldPosition="0"/>
    </format>
    <format dxfId="28">
      <pivotArea type="all" dataOnly="0" outline="0" fieldPosition="0"/>
    </format>
    <format dxfId="27">
      <pivotArea outline="0" collapsedLevelsAreSubtotals="1" fieldPosition="0"/>
    </format>
    <format dxfId="26">
      <pivotArea field="0" type="button" dataOnly="0" labelOnly="1" outline="0" axis="axisRow" fieldPosition="0"/>
    </format>
    <format dxfId="25">
      <pivotArea dataOnly="0" labelOnly="1" outline="0" axis="axisValues" fieldPosition="0"/>
    </format>
  </formats>
  <chartFormats count="2">
    <chartFormat chart="9" format="10" series="1">
      <pivotArea type="data" outline="0" fieldPosition="0">
        <references count="1">
          <reference field="4294967294" count="1" selected="0">
            <x v="0"/>
          </reference>
        </references>
      </pivotArea>
    </chartFormat>
    <chartFormat chart="9" format="1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filters count="1">
    <filter fld="0" type="today" evalOrder="-1" id="1">
      <autoFilter ref="A1">
        <filterColumn colId="0">
          <dynamicFilter type="today" val="46230" maxVal="46231"/>
        </filterColumn>
      </autoFilter>
    </filter>
  </filters>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7" Type="http://schemas.openxmlformats.org/officeDocument/2006/relationships/printerSettings" Target="../printerSettings/printerSettings2.bin"/><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8C5EF-E9CD-4587-8DA7-478FBA41DAB3}">
  <sheetPr codeName="Sheet3"/>
  <dimension ref="A1:Z195"/>
  <sheetViews>
    <sheetView showGridLines="0" tabSelected="1" zoomScale="40" zoomScaleNormal="40" zoomScaleSheetLayoutView="25" workbookViewId="0">
      <selection activeCell="F62" sqref="F62"/>
    </sheetView>
  </sheetViews>
  <sheetFormatPr defaultColWidth="60.85546875" defaultRowHeight="33"/>
  <cols>
    <col min="1" max="1" width="83.5703125" style="168" customWidth="1"/>
    <col min="2" max="2" width="67.85546875" style="168" customWidth="1"/>
    <col min="3" max="3" width="79.85546875" style="168" customWidth="1"/>
    <col min="4" max="4" width="11.140625" style="168" customWidth="1"/>
    <col min="5" max="5" width="121.85546875" style="168" customWidth="1"/>
    <col min="6" max="6" width="56.42578125" style="168" customWidth="1"/>
    <col min="7" max="7" width="2.5703125" style="168" customWidth="1"/>
    <col min="8" max="8" width="60.85546875" style="168" customWidth="1"/>
    <col min="9" max="9" width="11.85546875" style="168" customWidth="1"/>
    <col min="10" max="10" width="102.5703125" style="168" customWidth="1"/>
    <col min="11" max="11" width="85.42578125" style="168" customWidth="1"/>
    <col min="12" max="12" width="134" style="168" customWidth="1"/>
    <col min="13" max="13" width="117.42578125" style="168" customWidth="1"/>
    <col min="14" max="23" width="60.85546875" style="172"/>
    <col min="24" max="16384" width="60.85546875" style="170"/>
  </cols>
  <sheetData>
    <row r="1" spans="1:26" ht="33" customHeight="1">
      <c r="A1" s="458" t="s">
        <v>517</v>
      </c>
      <c r="B1" s="237"/>
      <c r="C1" s="475" t="s">
        <v>521</v>
      </c>
      <c r="D1" s="475"/>
      <c r="E1" s="475"/>
      <c r="F1" s="475"/>
      <c r="G1" s="475"/>
      <c r="H1" s="475"/>
      <c r="I1" s="475"/>
      <c r="J1" s="475"/>
      <c r="K1" s="472">
        <f>Data!L5</f>
        <v>46230</v>
      </c>
      <c r="L1" s="472"/>
      <c r="M1" s="469" t="s">
        <v>518</v>
      </c>
    </row>
    <row r="2" spans="1:26" ht="12.75" customHeight="1">
      <c r="A2" s="459"/>
      <c r="B2" s="226"/>
      <c r="C2" s="476"/>
      <c r="D2" s="476"/>
      <c r="E2" s="476"/>
      <c r="F2" s="476"/>
      <c r="G2" s="476"/>
      <c r="H2" s="476"/>
      <c r="I2" s="476"/>
      <c r="J2" s="476"/>
      <c r="K2" s="473"/>
      <c r="L2" s="473"/>
      <c r="M2" s="470"/>
      <c r="N2" s="173"/>
      <c r="O2" s="173"/>
      <c r="P2" s="173"/>
      <c r="Q2" s="173"/>
      <c r="R2" s="173"/>
      <c r="S2" s="173"/>
      <c r="T2" s="173"/>
      <c r="U2" s="173"/>
      <c r="V2" s="173"/>
      <c r="W2" s="173"/>
      <c r="X2" s="235"/>
      <c r="Y2" s="235"/>
      <c r="Z2" s="235"/>
    </row>
    <row r="3" spans="1:26" ht="23.25" customHeight="1">
      <c r="A3" s="459"/>
      <c r="B3" s="226"/>
      <c r="C3" s="476"/>
      <c r="D3" s="476"/>
      <c r="E3" s="476"/>
      <c r="F3" s="476"/>
      <c r="G3" s="476"/>
      <c r="H3" s="476"/>
      <c r="I3" s="476"/>
      <c r="J3" s="476"/>
      <c r="K3" s="473"/>
      <c r="L3" s="473"/>
      <c r="M3" s="470"/>
      <c r="N3" s="173"/>
      <c r="O3" s="173"/>
      <c r="P3" s="173"/>
      <c r="Q3" s="173"/>
      <c r="R3" s="173"/>
      <c r="S3" s="173"/>
      <c r="T3" s="173"/>
      <c r="U3" s="173"/>
      <c r="V3" s="173"/>
      <c r="W3" s="173"/>
      <c r="X3" s="235"/>
      <c r="Y3" s="235"/>
      <c r="Z3" s="235"/>
    </row>
    <row r="4" spans="1:26" ht="146.25" customHeight="1" thickBot="1">
      <c r="A4" s="459"/>
      <c r="B4" s="226"/>
      <c r="C4" s="477"/>
      <c r="D4" s="477"/>
      <c r="E4" s="477"/>
      <c r="F4" s="477"/>
      <c r="G4" s="477"/>
      <c r="H4" s="477"/>
      <c r="I4" s="477"/>
      <c r="J4" s="477"/>
      <c r="K4" s="474"/>
      <c r="L4" s="474"/>
      <c r="M4" s="471"/>
      <c r="N4" s="173"/>
      <c r="O4" s="173"/>
      <c r="P4" s="173"/>
      <c r="Q4" s="173"/>
      <c r="R4" s="173"/>
      <c r="S4" s="173"/>
      <c r="T4" s="173"/>
      <c r="U4" s="173"/>
      <c r="V4" s="173"/>
      <c r="W4" s="173"/>
      <c r="X4" s="235"/>
      <c r="Y4" s="235"/>
      <c r="Z4" s="235"/>
    </row>
    <row r="5" spans="1:26" ht="62.25" customHeight="1" thickTop="1">
      <c r="A5" s="187"/>
      <c r="B5" s="227"/>
      <c r="C5" s="188"/>
      <c r="D5" s="188"/>
      <c r="E5" s="188"/>
      <c r="F5" s="188"/>
      <c r="G5" s="188"/>
      <c r="H5" s="188"/>
      <c r="I5" s="188"/>
      <c r="J5" s="188"/>
      <c r="K5" s="188"/>
      <c r="L5" s="188"/>
      <c r="M5" s="189"/>
      <c r="N5" s="173"/>
      <c r="O5" s="173"/>
      <c r="P5" s="173"/>
      <c r="Q5" s="173"/>
      <c r="R5" s="173"/>
      <c r="S5" s="173"/>
      <c r="T5" s="173"/>
      <c r="U5" s="173"/>
      <c r="V5" s="173"/>
      <c r="W5" s="173"/>
      <c r="X5" s="235"/>
      <c r="Y5" s="235"/>
      <c r="Z5" s="235"/>
    </row>
    <row r="6" spans="1:26" ht="58.5" customHeight="1">
      <c r="A6" s="176"/>
      <c r="B6" s="177"/>
      <c r="C6" s="190"/>
      <c r="D6" s="190"/>
      <c r="E6" s="190"/>
      <c r="F6" s="190"/>
      <c r="G6" s="190"/>
      <c r="H6" s="190"/>
      <c r="I6" s="190"/>
      <c r="J6" s="190"/>
      <c r="K6" s="190"/>
      <c r="L6" s="190"/>
      <c r="M6" s="191"/>
      <c r="N6" s="173"/>
      <c r="O6" s="173"/>
      <c r="P6" s="173"/>
      <c r="Q6" s="173"/>
      <c r="R6" s="173"/>
      <c r="S6" s="173"/>
      <c r="T6" s="173"/>
      <c r="U6" s="173"/>
      <c r="V6" s="173"/>
      <c r="W6" s="173"/>
      <c r="X6" s="235"/>
      <c r="Y6" s="235"/>
      <c r="Z6" s="235"/>
    </row>
    <row r="7" spans="1:26" ht="21" customHeight="1">
      <c r="A7" s="176"/>
      <c r="B7" s="177"/>
      <c r="C7" s="190"/>
      <c r="D7" s="190"/>
      <c r="E7" s="190"/>
      <c r="F7" s="190"/>
      <c r="G7" s="190"/>
      <c r="H7" s="190"/>
      <c r="I7" s="190"/>
      <c r="J7" s="190"/>
      <c r="K7" s="190"/>
      <c r="L7" s="190"/>
      <c r="M7" s="191"/>
      <c r="N7" s="173"/>
      <c r="O7" s="173"/>
      <c r="P7" s="173"/>
      <c r="Q7" s="173"/>
      <c r="R7" s="173"/>
      <c r="S7" s="173"/>
      <c r="T7" s="173"/>
      <c r="U7" s="173"/>
      <c r="V7" s="173"/>
      <c r="W7" s="173"/>
      <c r="X7" s="235"/>
      <c r="Y7" s="235"/>
      <c r="Z7" s="235"/>
    </row>
    <row r="8" spans="1:26" ht="21" customHeight="1">
      <c r="A8" s="176"/>
      <c r="B8" s="177"/>
      <c r="C8" s="190"/>
      <c r="D8" s="190"/>
      <c r="E8" s="190"/>
      <c r="F8" s="190"/>
      <c r="G8" s="190"/>
      <c r="H8" s="190"/>
      <c r="I8" s="190"/>
      <c r="J8" s="190"/>
      <c r="K8" s="190"/>
      <c r="L8" s="190"/>
      <c r="M8" s="191"/>
      <c r="N8" s="173"/>
      <c r="O8" s="173"/>
      <c r="P8" s="173"/>
      <c r="Q8" s="173"/>
      <c r="R8" s="173"/>
      <c r="S8" s="173"/>
      <c r="T8" s="173"/>
      <c r="U8" s="173"/>
      <c r="V8" s="173"/>
      <c r="W8" s="173"/>
      <c r="X8" s="235"/>
      <c r="Y8" s="235"/>
      <c r="Z8" s="235"/>
    </row>
    <row r="9" spans="1:26" ht="21" customHeight="1">
      <c r="A9" s="176"/>
      <c r="B9" s="177"/>
      <c r="C9" s="190"/>
      <c r="D9" s="190"/>
      <c r="E9" s="190"/>
      <c r="F9" s="190"/>
      <c r="G9" s="190"/>
      <c r="H9" s="190"/>
      <c r="I9" s="190"/>
      <c r="J9" s="190"/>
      <c r="K9" s="190"/>
      <c r="L9" s="190"/>
      <c r="M9" s="191"/>
      <c r="N9" s="173"/>
      <c r="O9" s="173"/>
      <c r="P9" s="173"/>
      <c r="Q9" s="173"/>
      <c r="R9" s="173"/>
      <c r="S9" s="173"/>
      <c r="T9" s="173"/>
      <c r="U9" s="173"/>
      <c r="V9" s="173"/>
      <c r="W9" s="173"/>
      <c r="X9" s="235"/>
      <c r="Y9" s="235"/>
      <c r="Z9" s="235"/>
    </row>
    <row r="10" spans="1:26" ht="21" customHeight="1">
      <c r="A10" s="176"/>
      <c r="B10" s="177"/>
      <c r="C10" s="190"/>
      <c r="D10" s="190"/>
      <c r="E10" s="190"/>
      <c r="F10" s="190"/>
      <c r="G10" s="190"/>
      <c r="H10" s="190"/>
      <c r="I10" s="190"/>
      <c r="J10" s="190"/>
      <c r="K10" s="190"/>
      <c r="L10" s="190"/>
      <c r="M10" s="191"/>
      <c r="N10" s="173"/>
      <c r="O10" s="173"/>
      <c r="P10" s="173"/>
      <c r="Q10" s="173"/>
      <c r="R10" s="173"/>
      <c r="S10" s="173"/>
      <c r="T10" s="173"/>
      <c r="U10" s="173"/>
      <c r="V10" s="173"/>
      <c r="W10" s="173"/>
      <c r="X10" s="235"/>
      <c r="Y10" s="235"/>
      <c r="Z10" s="235"/>
    </row>
    <row r="11" spans="1:26" ht="90.75" customHeight="1">
      <c r="A11" s="176"/>
      <c r="B11" s="177"/>
      <c r="C11" s="177"/>
      <c r="D11" s="177"/>
      <c r="E11" s="177"/>
      <c r="F11" s="192"/>
      <c r="G11" s="192"/>
      <c r="H11" s="192"/>
      <c r="I11" s="192"/>
      <c r="J11" s="192"/>
      <c r="K11" s="192"/>
      <c r="L11" s="192"/>
      <c r="M11" s="193"/>
      <c r="N11" s="174"/>
      <c r="O11" s="174"/>
      <c r="P11" s="174"/>
      <c r="Q11" s="174"/>
      <c r="R11" s="174"/>
      <c r="S11" s="174"/>
      <c r="T11" s="174"/>
      <c r="U11" s="174"/>
      <c r="V11" s="174"/>
      <c r="W11" s="174"/>
      <c r="X11" s="236"/>
      <c r="Y11" s="236"/>
      <c r="Z11" s="236"/>
    </row>
    <row r="12" spans="1:26" ht="409.5" customHeight="1">
      <c r="A12" s="176"/>
      <c r="B12" s="177"/>
      <c r="C12" s="177"/>
      <c r="D12" s="177"/>
      <c r="E12" s="177"/>
      <c r="F12" s="192"/>
      <c r="G12" s="192"/>
      <c r="H12" s="192"/>
      <c r="I12" s="192"/>
      <c r="J12" s="192"/>
      <c r="K12" s="192"/>
      <c r="L12" s="192"/>
      <c r="M12" s="193"/>
      <c r="N12" s="174"/>
      <c r="O12"/>
      <c r="P12" s="174"/>
      <c r="Q12" s="174"/>
      <c r="R12" s="174"/>
      <c r="S12" s="174"/>
      <c r="T12" s="174"/>
      <c r="U12" s="174"/>
      <c r="V12" s="174"/>
      <c r="W12" s="174"/>
      <c r="X12" s="236"/>
      <c r="Y12" s="236"/>
      <c r="Z12" s="236"/>
    </row>
    <row r="13" spans="1:26" ht="70.5" customHeight="1" thickBot="1">
      <c r="A13" s="176"/>
      <c r="B13" s="177"/>
      <c r="C13" s="177"/>
      <c r="D13" s="177"/>
      <c r="E13" s="177"/>
      <c r="F13" s="192"/>
      <c r="G13" s="192"/>
      <c r="H13" s="192"/>
      <c r="I13" s="192"/>
      <c r="J13" s="192"/>
      <c r="K13" s="192"/>
      <c r="L13" s="192"/>
      <c r="M13" s="193"/>
      <c r="N13" s="174"/>
      <c r="O13"/>
      <c r="P13" s="174"/>
      <c r="Q13" s="174"/>
      <c r="R13" s="174"/>
      <c r="S13" s="174"/>
      <c r="T13" s="174"/>
      <c r="U13" s="174"/>
      <c r="V13" s="174"/>
      <c r="W13" s="174"/>
      <c r="X13" s="236"/>
      <c r="Y13" s="236"/>
      <c r="Z13" s="236"/>
    </row>
    <row r="14" spans="1:26" ht="51.75" customHeight="1" thickBot="1">
      <c r="A14" s="466" t="s">
        <v>471</v>
      </c>
      <c r="B14" s="467"/>
      <c r="C14" s="467"/>
      <c r="D14" s="467"/>
      <c r="E14" s="467"/>
      <c r="F14" s="467"/>
      <c r="G14" s="468"/>
      <c r="H14" s="177"/>
      <c r="I14" s="177"/>
      <c r="J14" s="177"/>
      <c r="K14" s="177"/>
      <c r="L14" s="177"/>
      <c r="M14" s="178"/>
    </row>
    <row r="15" spans="1:26" ht="39">
      <c r="A15" s="220" t="s">
        <v>498</v>
      </c>
      <c r="B15" s="228"/>
      <c r="C15" s="222"/>
      <c r="D15" s="181"/>
      <c r="E15" s="223" t="s">
        <v>447</v>
      </c>
      <c r="F15" s="222"/>
      <c r="G15" s="195"/>
      <c r="H15" s="177"/>
      <c r="I15" s="177"/>
      <c r="J15" s="177"/>
      <c r="K15" s="177"/>
      <c r="L15" s="177"/>
      <c r="M15" s="178"/>
    </row>
    <row r="16" spans="1:26" ht="40.5">
      <c r="A16" s="243" t="str">
        <f>Data!D41</f>
        <v>Capital Projects Fund</v>
      </c>
      <c r="B16" s="229"/>
      <c r="C16" s="244">
        <f>Data!E41</f>
        <v>292133635.87</v>
      </c>
      <c r="D16" s="181"/>
      <c r="E16" s="246" t="s">
        <v>488</v>
      </c>
      <c r="F16" s="244">
        <f>Data!B54</f>
        <v>4708564.87</v>
      </c>
      <c r="G16" s="197"/>
      <c r="H16" s="177"/>
      <c r="I16" s="177"/>
      <c r="J16" s="177"/>
      <c r="K16" s="177"/>
      <c r="L16" s="177"/>
      <c r="M16" s="178"/>
    </row>
    <row r="17" spans="1:13" ht="40.5">
      <c r="A17" s="243" t="str">
        <f>Data!D42</f>
        <v>Debt Service Fund</v>
      </c>
      <c r="B17" s="229"/>
      <c r="C17" s="245">
        <f>Data!E42</f>
        <v>154189331.34999999</v>
      </c>
      <c r="D17" s="181"/>
      <c r="E17" s="246" t="s">
        <v>489</v>
      </c>
      <c r="F17" s="245">
        <f>Data!B55</f>
        <v>571800329.26999998</v>
      </c>
      <c r="G17" s="197"/>
      <c r="H17" s="177"/>
      <c r="I17" s="177"/>
      <c r="J17" s="177"/>
      <c r="K17" s="177"/>
      <c r="L17" s="177"/>
      <c r="M17" s="178"/>
    </row>
    <row r="18" spans="1:13" ht="40.5">
      <c r="A18" s="243" t="str">
        <f>Data!D43</f>
        <v>Enterprise Funds</v>
      </c>
      <c r="B18" s="229"/>
      <c r="C18" s="245">
        <f>Data!E43</f>
        <v>8975335.0600000005</v>
      </c>
      <c r="D18" s="181"/>
      <c r="E18" s="246" t="s">
        <v>490</v>
      </c>
      <c r="F18" s="245">
        <f>Data!B56</f>
        <v>3816497362.75</v>
      </c>
      <c r="G18" s="197"/>
      <c r="H18" s="177"/>
      <c r="I18" s="177"/>
      <c r="J18" s="177"/>
      <c r="K18" s="177"/>
      <c r="L18" s="177"/>
      <c r="M18" s="178"/>
    </row>
    <row r="19" spans="1:13" ht="40.5">
      <c r="A19" s="243" t="str">
        <f>Data!D44</f>
        <v>General Fund (Subfund)</v>
      </c>
      <c r="B19" s="229"/>
      <c r="C19" s="245">
        <f>Data!E44</f>
        <v>860434492.75</v>
      </c>
      <c r="D19" s="181"/>
      <c r="E19" s="246" t="s">
        <v>491</v>
      </c>
      <c r="F19" s="245">
        <f>Data!B57</f>
        <v>3754457.42</v>
      </c>
      <c r="G19" s="197"/>
      <c r="H19" s="177"/>
      <c r="I19" s="177"/>
      <c r="J19" s="177"/>
      <c r="K19" s="177"/>
      <c r="L19" s="177"/>
      <c r="M19" s="178"/>
    </row>
    <row r="20" spans="1:13" ht="40.5">
      <c r="A20" s="243" t="str">
        <f>Data!D45</f>
        <v>Internal Service Funds</v>
      </c>
      <c r="B20" s="229"/>
      <c r="C20" s="245">
        <f>Data!E45</f>
        <v>441321877.75999999</v>
      </c>
      <c r="D20" s="181"/>
      <c r="E20" s="246" t="s">
        <v>448</v>
      </c>
      <c r="F20" s="245">
        <f>Data!B58</f>
        <v>20143578.940000001</v>
      </c>
      <c r="G20" s="197"/>
      <c r="H20" s="177"/>
      <c r="I20" s="177"/>
      <c r="J20" s="177"/>
      <c r="K20" s="177"/>
      <c r="L20" s="177"/>
      <c r="M20" s="178"/>
    </row>
    <row r="21" spans="1:13" ht="40.5">
      <c r="A21" s="243" t="str">
        <f>Data!D46</f>
        <v>Special Revenue (CSA's)</v>
      </c>
      <c r="B21" s="229"/>
      <c r="C21" s="245">
        <f>Data!E46</f>
        <v>66254218.960000001</v>
      </c>
      <c r="D21" s="181"/>
      <c r="E21" s="246" t="s">
        <v>492</v>
      </c>
      <c r="F21" s="245">
        <f>Data!B59</f>
        <v>8443950016.5600004</v>
      </c>
      <c r="G21" s="197"/>
      <c r="H21" s="177"/>
      <c r="I21" s="177"/>
      <c r="J21" s="177"/>
      <c r="K21" s="177"/>
      <c r="L21" s="177"/>
      <c r="M21" s="178"/>
    </row>
    <row r="22" spans="1:13" ht="40.5">
      <c r="A22" s="243" t="str">
        <f>Data!D47</f>
        <v>Special Revenue (Transport)</v>
      </c>
      <c r="B22" s="229"/>
      <c r="C22" s="245">
        <f>Data!E47</f>
        <v>213869713.56999999</v>
      </c>
      <c r="D22" s="181"/>
      <c r="E22" s="246" t="s">
        <v>513</v>
      </c>
      <c r="F22" s="245">
        <f>Data!B60</f>
        <v>1149983.04</v>
      </c>
      <c r="G22" s="197"/>
      <c r="H22" s="177"/>
      <c r="I22" s="177"/>
      <c r="J22" s="177"/>
      <c r="K22" s="177"/>
      <c r="L22" s="177"/>
      <c r="M22" s="178"/>
    </row>
    <row r="23" spans="1:13" ht="40.5">
      <c r="A23" s="243" t="str">
        <f>Data!D48</f>
        <v>Special Revenue Fund</v>
      </c>
      <c r="B23" s="229"/>
      <c r="C23" s="245">
        <f>Data!E48</f>
        <v>418130652.36000001</v>
      </c>
      <c r="D23" s="181"/>
      <c r="E23" s="247" t="s">
        <v>437</v>
      </c>
      <c r="F23" s="245">
        <f>Data!B61</f>
        <v>373379566.51999998</v>
      </c>
      <c r="G23" s="197"/>
      <c r="H23" s="177"/>
      <c r="I23" s="177"/>
      <c r="J23" s="177"/>
      <c r="K23" s="177"/>
      <c r="L23" s="177"/>
      <c r="M23" s="178"/>
    </row>
    <row r="24" spans="1:13" ht="40.5">
      <c r="A24" s="243" t="str">
        <f>Data!D49</f>
        <v>Enterprise Funds (Hospital)</v>
      </c>
      <c r="B24" s="229"/>
      <c r="C24" s="245">
        <f>Data!E49</f>
        <v>94036176.390000001</v>
      </c>
      <c r="D24" s="181"/>
      <c r="E24" s="246" t="s">
        <v>438</v>
      </c>
      <c r="F24" s="245">
        <f>Data!B62</f>
        <v>26085169.699999999</v>
      </c>
      <c r="G24" s="197"/>
      <c r="H24" s="177"/>
      <c r="I24" s="177"/>
      <c r="J24" s="177"/>
      <c r="K24" s="177"/>
      <c r="L24" s="177"/>
      <c r="M24" s="178"/>
    </row>
    <row r="25" spans="1:13" ht="40.5">
      <c r="A25" s="243" t="str">
        <f>Data!D50</f>
        <v>Enterprise Funds (Clinics)</v>
      </c>
      <c r="B25" s="230"/>
      <c r="C25" s="245">
        <f>Data!E50</f>
        <v>225335596.71000001</v>
      </c>
      <c r="D25" s="181"/>
      <c r="E25" s="246" t="s">
        <v>439</v>
      </c>
      <c r="F25" s="245">
        <f>Data!B63</f>
        <v>-617912.64</v>
      </c>
      <c r="G25" s="197"/>
      <c r="H25" s="177"/>
      <c r="I25" s="177"/>
      <c r="J25" s="177"/>
      <c r="K25" s="177"/>
      <c r="L25" s="177"/>
      <c r="M25" s="178"/>
    </row>
    <row r="26" spans="1:13" ht="41.25">
      <c r="A26" s="243" t="str">
        <f>Data!D51</f>
        <v>Grand Total</v>
      </c>
      <c r="B26" s="231"/>
      <c r="C26" s="244">
        <f>Data!E51</f>
        <v>2774681030.7799997</v>
      </c>
      <c r="D26" s="181"/>
      <c r="E26" s="246" t="s">
        <v>440</v>
      </c>
      <c r="F26" s="245">
        <f>Data!B64</f>
        <v>-1129349.56</v>
      </c>
      <c r="G26" s="197"/>
      <c r="H26" s="177"/>
      <c r="I26" s="177"/>
      <c r="J26" s="177"/>
      <c r="K26" s="177"/>
      <c r="L26" s="177"/>
      <c r="M26" s="178"/>
    </row>
    <row r="27" spans="1:13" ht="41.25">
      <c r="A27" s="218"/>
      <c r="B27" s="231"/>
      <c r="C27" s="219"/>
      <c r="D27" s="181"/>
      <c r="E27" s="246" t="s">
        <v>425</v>
      </c>
      <c r="F27" s="245">
        <f>Data!B65</f>
        <v>27198468.039999999</v>
      </c>
      <c r="G27" s="197"/>
      <c r="H27" s="177"/>
      <c r="I27" s="177"/>
      <c r="J27" s="177"/>
      <c r="K27" s="177"/>
      <c r="L27" s="177"/>
      <c r="M27" s="178"/>
    </row>
    <row r="28" spans="1:13" ht="42" thickBot="1">
      <c r="A28" s="218"/>
      <c r="B28" s="231"/>
      <c r="C28" s="219"/>
      <c r="D28" s="181"/>
      <c r="E28" s="246" t="s">
        <v>500</v>
      </c>
      <c r="F28" s="245">
        <f>Data!B67</f>
        <v>2566925.9300000002</v>
      </c>
      <c r="G28" s="197"/>
      <c r="H28" s="177"/>
      <c r="I28" s="177"/>
      <c r="J28" s="177"/>
      <c r="K28" s="177"/>
      <c r="L28" s="177"/>
      <c r="M28" s="178"/>
    </row>
    <row r="29" spans="1:13" ht="42" thickBot="1">
      <c r="A29" s="218"/>
      <c r="B29" s="231"/>
      <c r="C29" s="219"/>
      <c r="D29" s="181"/>
      <c r="E29" s="246" t="s">
        <v>441</v>
      </c>
      <c r="F29" s="245">
        <f>Data!B68</f>
        <v>301235323.81</v>
      </c>
      <c r="G29" s="197"/>
      <c r="H29" s="177"/>
      <c r="I29" s="177"/>
      <c r="J29" s="177"/>
      <c r="K29" s="296" t="str">
        <f>Data!G99</f>
        <v>Account Name</v>
      </c>
      <c r="L29" s="297" t="s">
        <v>192</v>
      </c>
      <c r="M29" s="298" t="s">
        <v>523</v>
      </c>
    </row>
    <row r="30" spans="1:13" ht="9" customHeight="1" thickBot="1">
      <c r="A30" s="200"/>
      <c r="B30" s="201"/>
      <c r="C30" s="224"/>
      <c r="D30" s="181"/>
      <c r="E30" s="202"/>
      <c r="F30" s="203"/>
      <c r="G30" s="204"/>
      <c r="H30" s="177"/>
      <c r="I30" s="177"/>
      <c r="J30" s="177"/>
      <c r="K30" s="214">
        <f>[1]Data!P79</f>
        <v>0</v>
      </c>
      <c r="L30" s="215">
        <f>Data!Q80</f>
        <v>0</v>
      </c>
      <c r="M30" s="216"/>
    </row>
    <row r="31" spans="1:13" ht="41.25">
      <c r="A31" s="248" t="s">
        <v>499</v>
      </c>
      <c r="B31" s="228"/>
      <c r="C31" s="221"/>
      <c r="D31" s="181"/>
      <c r="E31" s="196"/>
      <c r="F31" s="198"/>
      <c r="G31" s="199"/>
      <c r="H31" s="177"/>
      <c r="I31" s="177"/>
      <c r="J31" s="177"/>
      <c r="K31" s="327" t="str">
        <f>Data!G100</f>
        <v xml:space="preserve">Cash </v>
      </c>
      <c r="L31" s="328">
        <f>GETPIVOTDATA("Amount",Data!$G$111,"Account Name","Cash ")</f>
        <v>16806604550.27002</v>
      </c>
      <c r="M31" s="294">
        <f>Data!F100</f>
        <v>101100</v>
      </c>
    </row>
    <row r="32" spans="1:13" ht="41.25">
      <c r="A32" s="248" t="s">
        <v>487</v>
      </c>
      <c r="B32" s="228"/>
      <c r="C32" s="250">
        <f>SUM(C16:C25)</f>
        <v>2774681030.7799997</v>
      </c>
      <c r="D32" s="181"/>
      <c r="E32" s="207"/>
      <c r="F32" s="206"/>
      <c r="G32" s="205"/>
      <c r="H32" s="177"/>
      <c r="I32" s="177"/>
      <c r="J32" s="177"/>
      <c r="K32" s="327" t="str">
        <f>Data!G101</f>
        <v>Restricted Cash</v>
      </c>
      <c r="L32" s="293">
        <f>GETPIVOTDATA("Amount",Data!$G$111,"Account Name","Restricted Cash")</f>
        <v>106898633.97</v>
      </c>
      <c r="M32" s="294">
        <f>Data!F101</f>
        <v>101101</v>
      </c>
    </row>
    <row r="33" spans="1:13" ht="41.25">
      <c r="A33" s="248" t="s">
        <v>466</v>
      </c>
      <c r="B33" s="228"/>
      <c r="C33" s="250">
        <f>SUM(F16:F29)</f>
        <v>13590722484.650005</v>
      </c>
      <c r="D33" s="181"/>
      <c r="E33" s="207"/>
      <c r="F33" s="206"/>
      <c r="G33" s="205"/>
      <c r="H33" s="177"/>
      <c r="I33" s="177"/>
      <c r="J33" s="177"/>
      <c r="K33" s="327" t="str">
        <f>Data!G102</f>
        <v>Imprest Cash</v>
      </c>
      <c r="L33" s="293">
        <f>GETPIVOTDATA("Amount",Data!$G$111,"Account Name","Imprest Cash")</f>
        <v>715505</v>
      </c>
      <c r="M33" s="294">
        <f>Data!F102</f>
        <v>101200</v>
      </c>
    </row>
    <row r="34" spans="1:13" ht="42" thickBot="1">
      <c r="A34" s="249" t="s">
        <v>469</v>
      </c>
      <c r="B34" s="232"/>
      <c r="C34" s="251">
        <f>GETPIVOTDATA("Amount",Data!$E$54,"Funds","General Fund Balance")</f>
        <v>549801253.98499894</v>
      </c>
      <c r="D34" s="181"/>
      <c r="E34" s="210"/>
      <c r="F34" s="209"/>
      <c r="G34" s="208"/>
      <c r="H34" s="177"/>
      <c r="I34" s="177"/>
      <c r="J34" s="177"/>
      <c r="K34" s="327" t="str">
        <f>Data!G103</f>
        <v>Investments In Lieu Of Cash</v>
      </c>
      <c r="L34" s="293">
        <f>GETPIVOTDATA("Amount",Data!$G$111,"Account Name","Investments In Lieu Of Cash")</f>
        <v>986080</v>
      </c>
      <c r="M34" s="294">
        <f>Data!F103</f>
        <v>105100</v>
      </c>
    </row>
    <row r="35" spans="1:13" ht="45.75" customHeight="1" thickBot="1">
      <c r="A35" s="254" t="s">
        <v>528</v>
      </c>
      <c r="B35" s="253"/>
      <c r="C35" s="252">
        <f>C32+C33+C34</f>
        <v>16915204769.415003</v>
      </c>
      <c r="D35" s="181"/>
      <c r="E35" s="211"/>
      <c r="F35" s="212"/>
      <c r="G35" s="213"/>
      <c r="H35" s="177"/>
      <c r="I35" s="177"/>
      <c r="J35" s="177"/>
      <c r="K35" s="327" t="str">
        <f>Data!G105</f>
        <v>Cash With Fiscal Agent</v>
      </c>
      <c r="L35" s="329">
        <f>GETPIVOTDATA("Amount",Data!$G$111,"Account Name","Cash With Fiscal Agent")</f>
        <v>179847909.87</v>
      </c>
      <c r="M35" s="295">
        <v>101500</v>
      </c>
    </row>
    <row r="36" spans="1:13" ht="42" thickBot="1">
      <c r="A36" s="176"/>
      <c r="B36" s="177"/>
      <c r="C36" s="177"/>
      <c r="D36" s="177"/>
      <c r="E36" s="177"/>
      <c r="F36" s="177"/>
      <c r="G36" s="177"/>
      <c r="H36" s="177"/>
      <c r="I36" s="177"/>
      <c r="J36" s="177"/>
      <c r="K36" s="299" t="s">
        <v>531</v>
      </c>
      <c r="L36" s="301">
        <f>GETPIVOTDATA("Amount",Data!$G$111)</f>
        <v>17095052679.11002</v>
      </c>
      <c r="M36" s="217"/>
    </row>
    <row r="37" spans="1:13" ht="35.25">
      <c r="A37" s="176"/>
      <c r="B37" s="177"/>
      <c r="C37" s="177"/>
      <c r="D37" s="177"/>
      <c r="E37" s="177"/>
      <c r="F37" s="177"/>
      <c r="G37" s="177"/>
      <c r="H37" s="177"/>
      <c r="I37" s="177"/>
      <c r="J37" s="177"/>
      <c r="K37" s="180"/>
      <c r="L37" s="194"/>
      <c r="M37" s="178"/>
    </row>
    <row r="38" spans="1:13" ht="13.5" customHeight="1">
      <c r="A38" s="311"/>
      <c r="B38" s="312"/>
      <c r="C38" s="312"/>
      <c r="D38" s="312"/>
      <c r="E38" s="312"/>
      <c r="F38" s="312"/>
      <c r="G38" s="312"/>
      <c r="H38" s="312"/>
      <c r="I38" s="312"/>
      <c r="J38" s="312"/>
      <c r="K38" s="312"/>
      <c r="L38" s="312"/>
      <c r="M38" s="313"/>
    </row>
    <row r="39" spans="1:13" ht="33.75" customHeight="1" thickBot="1">
      <c r="A39" s="176"/>
      <c r="B39" s="177"/>
      <c r="C39" s="177"/>
      <c r="D39" s="177"/>
      <c r="E39" s="177"/>
      <c r="F39" s="177"/>
      <c r="G39" s="177"/>
      <c r="H39" s="177"/>
      <c r="I39" s="177"/>
      <c r="J39" s="177"/>
      <c r="K39" s="177"/>
      <c r="L39" s="177"/>
      <c r="M39" s="178"/>
    </row>
    <row r="40" spans="1:13" ht="35.25" customHeight="1">
      <c r="A40" s="460" t="str">
        <f>Data!A77</f>
        <v>Expected Inflows next 2 weeks:</v>
      </c>
      <c r="B40" s="461"/>
      <c r="C40" s="462"/>
      <c r="D40" s="179"/>
      <c r="E40" s="452" t="s">
        <v>524</v>
      </c>
      <c r="F40" s="453"/>
      <c r="G40" s="453"/>
      <c r="H40" s="454"/>
      <c r="I40" s="177"/>
      <c r="J40" s="452" t="s">
        <v>493</v>
      </c>
      <c r="K40" s="453"/>
      <c r="L40" s="453"/>
      <c r="M40" s="454"/>
    </row>
    <row r="41" spans="1:13" ht="27" customHeight="1" thickBot="1">
      <c r="A41" s="463"/>
      <c r="B41" s="464"/>
      <c r="C41" s="465"/>
      <c r="D41" s="180"/>
      <c r="E41" s="455"/>
      <c r="F41" s="456"/>
      <c r="G41" s="456"/>
      <c r="H41" s="457"/>
      <c r="I41" s="177"/>
      <c r="J41" s="455"/>
      <c r="K41" s="456"/>
      <c r="L41" s="456"/>
      <c r="M41" s="457"/>
    </row>
    <row r="42" spans="1:13" ht="42" thickBot="1">
      <c r="A42" s="440" t="str">
        <f>Data!A78</f>
        <v>FY26 Mental Health Revenue</v>
      </c>
      <c r="B42" s="441"/>
      <c r="C42" s="242">
        <f>Data!B78</f>
        <v>90190954.290000007</v>
      </c>
      <c r="D42" s="181"/>
      <c r="E42" s="265" t="s">
        <v>525</v>
      </c>
      <c r="F42" s="266" t="s">
        <v>526</v>
      </c>
      <c r="G42" s="302"/>
      <c r="H42" s="267" t="s">
        <v>192</v>
      </c>
      <c r="I42" s="177"/>
      <c r="J42" s="257" t="str">
        <f>Data!A117</f>
        <v xml:space="preserve">Pool </v>
      </c>
      <c r="K42" s="268" t="str">
        <f>Data!B117</f>
        <v xml:space="preserve"> Pool Contribution </v>
      </c>
      <c r="L42" s="268" t="str">
        <f>Data!C117</f>
        <v xml:space="preserve"> Interest to GF</v>
      </c>
      <c r="M42" s="269" t="str">
        <f>Data!D117</f>
        <v xml:space="preserve"> Interest Not to GF</v>
      </c>
    </row>
    <row r="43" spans="1:13" ht="40.5" customHeight="1">
      <c r="A43" s="440" t="str">
        <f>Data!A79</f>
        <v>FY27 Dept of Public Social Services Revenue</v>
      </c>
      <c r="B43" s="441"/>
      <c r="C43" s="363">
        <f>Data!B79</f>
        <v>72505805</v>
      </c>
      <c r="D43" s="181"/>
      <c r="E43" s="331" t="str">
        <f>Data!G42</f>
        <v>Office On Aging</v>
      </c>
      <c r="F43" s="255">
        <f>Data!H42</f>
        <v>21450</v>
      </c>
      <c r="G43" s="303"/>
      <c r="H43" s="304">
        <f>Data!I42</f>
        <v>-6421202.0299999993</v>
      </c>
      <c r="I43" s="177"/>
      <c r="J43" s="260" t="str">
        <f>Data!A93</f>
        <v>3rd Party</v>
      </c>
      <c r="K43" s="261">
        <f>Data!B93</f>
        <v>10574476021.25</v>
      </c>
      <c r="L43" s="261">
        <f>Data!C93</f>
        <v>225338481.27000001</v>
      </c>
      <c r="M43" s="262">
        <f>Data!D93</f>
        <v>10349137539.98</v>
      </c>
    </row>
    <row r="44" spans="1:13" ht="40.5" customHeight="1">
      <c r="A44" s="440" t="str">
        <f>Data!A80</f>
        <v>FY26 Human Resources Revenue</v>
      </c>
      <c r="B44" s="441"/>
      <c r="C44" s="363">
        <f>Data!B80</f>
        <v>4450676.2300000004</v>
      </c>
      <c r="D44" s="181"/>
      <c r="E44" s="331" t="str">
        <f>Data!G43</f>
        <v>Capital Const-Land &amp; Bldg Acq</v>
      </c>
      <c r="F44" s="255">
        <f>Data!H43</f>
        <v>30100</v>
      </c>
      <c r="G44" s="303"/>
      <c r="H44" s="304">
        <f>Data!I43</f>
        <v>-6147622.0999997631</v>
      </c>
      <c r="I44" s="177"/>
      <c r="J44" s="260" t="str">
        <f>Data!A94</f>
        <v>CFD - Community Facility District</v>
      </c>
      <c r="K44" s="263">
        <f>Data!B94</f>
        <v>15776256.42</v>
      </c>
      <c r="L44" s="263">
        <f>Data!C94</f>
        <v>0</v>
      </c>
      <c r="M44" s="264">
        <f>Data!D94</f>
        <v>15776256.42</v>
      </c>
    </row>
    <row r="45" spans="1:13" ht="40.5" customHeight="1">
      <c r="A45" s="440"/>
      <c r="B45" s="441"/>
      <c r="C45" s="363"/>
      <c r="D45" s="181"/>
      <c r="E45" s="331" t="str">
        <f>Data!G44</f>
        <v>FM-Real Estate</v>
      </c>
      <c r="F45" s="255">
        <f>Data!H44</f>
        <v>47220</v>
      </c>
      <c r="G45" s="303"/>
      <c r="H45" s="304">
        <f>Data!I44</f>
        <v>-5430108.1630000016</v>
      </c>
      <c r="I45" s="177"/>
      <c r="J45" s="260" t="str">
        <f>Data!A95</f>
        <v>Funds to Close</v>
      </c>
      <c r="K45" s="263">
        <f>Data!B95</f>
        <v>0</v>
      </c>
      <c r="L45" s="263">
        <f>Data!C95</f>
        <v>0</v>
      </c>
      <c r="M45" s="264">
        <f>Data!D95</f>
        <v>0</v>
      </c>
    </row>
    <row r="46" spans="1:13" ht="40.5">
      <c r="A46" s="440"/>
      <c r="B46" s="441"/>
      <c r="C46" s="363"/>
      <c r="D46" s="181"/>
      <c r="E46" s="331" t="str">
        <f>Data!G45</f>
        <v>Deferred Comp Co-Nationwide</v>
      </c>
      <c r="F46" s="255">
        <f>Data!H45</f>
        <v>65085</v>
      </c>
      <c r="G46" s="303"/>
      <c r="H46" s="304">
        <f>Data!I45</f>
        <v>-2048185.5799999998</v>
      </c>
      <c r="I46" s="177"/>
      <c r="J46" s="260" t="str">
        <f>Data!A96</f>
        <v>County Service Area (CSA)</v>
      </c>
      <c r="K46" s="263">
        <f>Data!B96</f>
        <v>62229930.950000003</v>
      </c>
      <c r="L46" s="263">
        <f>Data!C96</f>
        <v>135987.79999999999</v>
      </c>
      <c r="M46" s="264">
        <f>Data!D96</f>
        <v>62093943.150000006</v>
      </c>
    </row>
    <row r="47" spans="1:13" ht="40.5">
      <c r="A47" s="440"/>
      <c r="B47" s="441"/>
      <c r="C47" s="363"/>
      <c r="D47" s="181"/>
      <c r="E47" s="331" t="str">
        <f>Data!G46</f>
        <v>RSA Flexible Spending Account</v>
      </c>
      <c r="F47" s="255">
        <f>Data!H46</f>
        <v>65176</v>
      </c>
      <c r="G47" s="303"/>
      <c r="H47" s="304">
        <f>Data!I46</f>
        <v>-1270280.6099999999</v>
      </c>
      <c r="I47" s="177"/>
      <c r="J47" s="260" t="str">
        <f>Data!A97</f>
        <v>Cash with Fiscal Agent</v>
      </c>
      <c r="K47" s="263">
        <f>Data!B97</f>
        <v>45774320.960000001</v>
      </c>
      <c r="L47" s="263">
        <f>Data!C97</f>
        <v>0</v>
      </c>
      <c r="M47" s="264">
        <f>Data!D97</f>
        <v>45774320.960000001</v>
      </c>
    </row>
    <row r="48" spans="1:13" ht="40.5">
      <c r="A48" s="440"/>
      <c r="B48" s="441"/>
      <c r="C48" s="363"/>
      <c r="D48" s="181"/>
      <c r="E48" s="331" t="str">
        <f>Data!G47</f>
        <v>IHSS Public Authority</v>
      </c>
      <c r="F48" s="255">
        <f>Data!H47</f>
        <v>22800</v>
      </c>
      <c r="G48" s="303"/>
      <c r="H48" s="304">
        <f>Data!I47</f>
        <v>-1129349.5600000005</v>
      </c>
      <c r="I48" s="177"/>
      <c r="J48" s="260" t="str">
        <f>Data!A98</f>
        <v>Deferred Compensation</v>
      </c>
      <c r="K48" s="263">
        <f>Data!B98</f>
        <v>0</v>
      </c>
      <c r="L48" s="263">
        <f>Data!C98</f>
        <v>0</v>
      </c>
      <c r="M48" s="264">
        <f>Data!D98</f>
        <v>0</v>
      </c>
    </row>
    <row r="49" spans="1:13" ht="40.5">
      <c r="A49" s="440"/>
      <c r="B49" s="441"/>
      <c r="C49" s="242"/>
      <c r="D49" s="181"/>
      <c r="E49" s="331"/>
      <c r="F49" s="255"/>
      <c r="G49" s="303"/>
      <c r="H49" s="304"/>
      <c r="I49" s="177"/>
      <c r="J49" s="260" t="str">
        <f>Data!A99</f>
        <v>Enterprise Funds</v>
      </c>
      <c r="K49" s="263">
        <f>Data!B99</f>
        <v>-419130.18</v>
      </c>
      <c r="L49" s="263">
        <f>Data!C99</f>
        <v>159356.71</v>
      </c>
      <c r="M49" s="264">
        <f>Data!D99</f>
        <v>-578486.89</v>
      </c>
    </row>
    <row r="50" spans="1:13" ht="40.5">
      <c r="A50" s="440"/>
      <c r="B50" s="441"/>
      <c r="C50" s="333"/>
      <c r="D50" s="181"/>
      <c r="E50" s="331"/>
      <c r="F50" s="255"/>
      <c r="G50" s="303"/>
      <c r="H50" s="304"/>
      <c r="I50" s="177"/>
      <c r="J50" s="260" t="str">
        <f>Data!A100</f>
        <v>Flood Control</v>
      </c>
      <c r="K50" s="263">
        <f>Data!B100</f>
        <v>373379566.51999998</v>
      </c>
      <c r="L50" s="263">
        <f>Data!C100</f>
        <v>0</v>
      </c>
      <c r="M50" s="264">
        <f>Data!D100</f>
        <v>373379566.51999998</v>
      </c>
    </row>
    <row r="51" spans="1:13" ht="41.25" thickBot="1">
      <c r="A51" s="440"/>
      <c r="B51" s="441"/>
      <c r="C51" s="333"/>
      <c r="D51" s="181"/>
      <c r="E51" s="331"/>
      <c r="F51" s="255"/>
      <c r="G51" s="303"/>
      <c r="H51" s="304"/>
      <c r="I51" s="177"/>
      <c r="J51" s="260" t="str">
        <f>Data!A101</f>
        <v>General Fund</v>
      </c>
      <c r="K51" s="263">
        <f>Data!B101</f>
        <v>549801253.87</v>
      </c>
      <c r="L51" s="263">
        <f>Data!C101</f>
        <v>549801253.87</v>
      </c>
      <c r="M51" s="264">
        <f>Data!D101</f>
        <v>0</v>
      </c>
    </row>
    <row r="52" spans="1:13" ht="42.75" thickBot="1">
      <c r="A52" s="239" t="str">
        <f>Data!A87</f>
        <v xml:space="preserve">Total Expected Inflows </v>
      </c>
      <c r="B52" s="233"/>
      <c r="C52" s="240">
        <f>SUM(C42:C51)</f>
        <v>167147435.52000001</v>
      </c>
      <c r="D52" s="181"/>
      <c r="E52" s="331"/>
      <c r="F52" s="255"/>
      <c r="G52" s="303"/>
      <c r="H52" s="304"/>
      <c r="I52" s="177"/>
      <c r="J52" s="260" t="str">
        <f>Data!A102</f>
        <v>General Restricted Sub-fund</v>
      </c>
      <c r="K52" s="263">
        <f>Data!B102</f>
        <v>811439316.51999998</v>
      </c>
      <c r="L52" s="263">
        <f>Data!C102</f>
        <v>435804592.73000002</v>
      </c>
      <c r="M52" s="264">
        <f>Data!D102</f>
        <v>375634723.78999996</v>
      </c>
    </row>
    <row r="53" spans="1:13" ht="41.25" thickBot="1">
      <c r="A53" s="182"/>
      <c r="B53" s="234"/>
      <c r="C53" s="285"/>
      <c r="D53" s="181"/>
      <c r="E53" s="331"/>
      <c r="F53" s="255"/>
      <c r="G53" s="303"/>
      <c r="H53" s="304"/>
      <c r="I53" s="177"/>
      <c r="J53" s="260" t="str">
        <f>Data!A103</f>
        <v>General Unrestricted Sub-fund</v>
      </c>
      <c r="K53" s="263">
        <f>Data!B103</f>
        <v>48257444.909999996</v>
      </c>
      <c r="L53" s="263">
        <f>Data!C103</f>
        <v>33391086.16</v>
      </c>
      <c r="M53" s="264">
        <f>Data!D103</f>
        <v>14866358.749999996</v>
      </c>
    </row>
    <row r="54" spans="1:13" ht="42" customHeight="1">
      <c r="A54" s="446" t="str">
        <f>Data!D77</f>
        <v>Expected Outflows next 2 weeks:</v>
      </c>
      <c r="B54" s="447"/>
      <c r="C54" s="448"/>
      <c r="D54" s="181"/>
      <c r="E54" s="331"/>
      <c r="F54" s="255"/>
      <c r="G54" s="303"/>
      <c r="H54" s="304"/>
      <c r="I54" s="177"/>
      <c r="J54" s="260" t="str">
        <f>Data!A104</f>
        <v>Internal Service Funds</v>
      </c>
      <c r="K54" s="263">
        <f>Data!B104</f>
        <v>1131488.2</v>
      </c>
      <c r="L54" s="263">
        <f>Data!C104</f>
        <v>1127367.07</v>
      </c>
      <c r="M54" s="264">
        <f>Data!D104</f>
        <v>4121.1299999998882</v>
      </c>
    </row>
    <row r="55" spans="1:13" ht="36" customHeight="1" thickBot="1">
      <c r="A55" s="449"/>
      <c r="B55" s="450"/>
      <c r="C55" s="451"/>
      <c r="D55" s="183"/>
      <c r="E55" s="331"/>
      <c r="F55" s="255"/>
      <c r="G55" s="303"/>
      <c r="H55" s="304"/>
      <c r="I55" s="177"/>
      <c r="J55" s="260" t="str">
        <f>Data!A105</f>
        <v>Parks</v>
      </c>
      <c r="K55" s="263">
        <f>Data!B105</f>
        <v>26723521.059999999</v>
      </c>
      <c r="L55" s="263">
        <f>Data!C105</f>
        <v>0</v>
      </c>
      <c r="M55" s="264">
        <f>Data!D105</f>
        <v>26723521.059999999</v>
      </c>
    </row>
    <row r="56" spans="1:13" ht="40.5">
      <c r="A56" s="440" t="str">
        <f>Data!D78</f>
        <v>Payroll PP15</v>
      </c>
      <c r="B56" s="441"/>
      <c r="C56" s="242">
        <f>Data!E78</f>
        <v>-57691615.949999996</v>
      </c>
      <c r="D56" s="183"/>
      <c r="E56" s="331"/>
      <c r="F56" s="255"/>
      <c r="G56" s="303"/>
      <c r="H56" s="304"/>
      <c r="I56" s="177"/>
      <c r="J56" s="260" t="str">
        <f>Data!A106</f>
        <v>Restricted Assets</v>
      </c>
      <c r="K56" s="263">
        <f>Data!B106</f>
        <v>64820029.520000003</v>
      </c>
      <c r="L56" s="263">
        <f>Data!C106</f>
        <v>0</v>
      </c>
      <c r="M56" s="264">
        <f>Data!D106</f>
        <v>64820029.520000003</v>
      </c>
    </row>
    <row r="57" spans="1:13" ht="40.35" customHeight="1">
      <c r="A57" s="440" t="str">
        <f>Data!D79</f>
        <v>FY27 Human Resources Expense</v>
      </c>
      <c r="B57" s="441"/>
      <c r="C57" s="363">
        <f>Data!E79</f>
        <v>-16591258.91</v>
      </c>
      <c r="D57" s="177"/>
      <c r="E57" s="331"/>
      <c r="F57" s="255"/>
      <c r="G57" s="305"/>
      <c r="H57" s="304"/>
      <c r="I57" s="177"/>
      <c r="J57" s="260" t="str">
        <f>Data!A107</f>
        <v>RDA</v>
      </c>
      <c r="K57" s="263">
        <f>Data!B107</f>
        <v>11853952.57</v>
      </c>
      <c r="L57" s="263">
        <f>Data!C107</f>
        <v>0</v>
      </c>
      <c r="M57" s="264">
        <f>Data!D107</f>
        <v>11853952.57</v>
      </c>
    </row>
    <row r="58" spans="1:13" ht="40.5" customHeight="1">
      <c r="A58" s="440" t="str">
        <f>Data!D80</f>
        <v>FY27 Facilities Management  Expense</v>
      </c>
      <c r="B58" s="441"/>
      <c r="C58" s="363">
        <f>Data!E80</f>
        <v>-9127044.129999999</v>
      </c>
      <c r="D58" s="177"/>
      <c r="E58" s="331"/>
      <c r="F58" s="255"/>
      <c r="G58" s="303"/>
      <c r="H58" s="304"/>
      <c r="I58" s="177"/>
      <c r="J58" s="260" t="str">
        <f>Data!A108</f>
        <v>Restricted General Fund</v>
      </c>
      <c r="K58" s="263">
        <f>Data!B108</f>
        <v>770194381.46000004</v>
      </c>
      <c r="L58" s="263">
        <f>Data!C108</f>
        <v>40978600.950000003</v>
      </c>
      <c r="M58" s="264">
        <f>Data!D108</f>
        <v>729215780.50999999</v>
      </c>
    </row>
    <row r="59" spans="1:13" ht="40.5" customHeight="1">
      <c r="A59" s="440" t="str">
        <f>Data!D81</f>
        <v>FY26 Detention Health Services Expense</v>
      </c>
      <c r="B59" s="441"/>
      <c r="C59" s="363">
        <f>Data!E81</f>
        <v>-7618412.3799999999</v>
      </c>
      <c r="D59" s="184"/>
      <c r="E59" s="331"/>
      <c r="F59" s="255"/>
      <c r="G59" s="303"/>
      <c r="H59" s="304"/>
      <c r="I59" s="177"/>
      <c r="J59" s="260" t="str">
        <f>Data!A109</f>
        <v>Special Districts</v>
      </c>
      <c r="K59" s="263">
        <f>Data!B109</f>
        <v>2097505695.3099999</v>
      </c>
      <c r="L59" s="263">
        <f>Data!C109</f>
        <v>1506546.99</v>
      </c>
      <c r="M59" s="264">
        <f>Data!D109</f>
        <v>2095999148.3199999</v>
      </c>
    </row>
    <row r="60" spans="1:13" ht="40.5" customHeight="1">
      <c r="A60" s="440" t="str">
        <f>Data!D82</f>
        <v>FY26 Executive Office Expense</v>
      </c>
      <c r="B60" s="441"/>
      <c r="C60" s="363">
        <f>Data!E82</f>
        <v>-4300000</v>
      </c>
      <c r="D60" s="177"/>
      <c r="E60" s="331"/>
      <c r="F60" s="255"/>
      <c r="G60" s="303"/>
      <c r="H60" s="304"/>
      <c r="I60" s="177"/>
      <c r="J60" s="260" t="str">
        <f>Data!A110</f>
        <v>Transportation</v>
      </c>
      <c r="K60" s="263">
        <f>Data!B110</f>
        <v>198109965.63</v>
      </c>
      <c r="L60" s="263">
        <f>Data!C110</f>
        <v>5495853.9500000002</v>
      </c>
      <c r="M60" s="264">
        <f>Data!D110</f>
        <v>192614111.68000001</v>
      </c>
    </row>
    <row r="61" spans="1:13" ht="40.5">
      <c r="A61" s="440"/>
      <c r="B61" s="441"/>
      <c r="C61" s="363"/>
      <c r="D61" s="177"/>
      <c r="E61" s="331"/>
      <c r="F61" s="255"/>
      <c r="G61" s="306"/>
      <c r="H61" s="304"/>
      <c r="I61" s="177"/>
      <c r="J61" s="260" t="str">
        <f>Data!A111</f>
        <v>Unrestricted General Funds</v>
      </c>
      <c r="K61" s="263">
        <f>Data!B111</f>
        <v>912198090.75</v>
      </c>
      <c r="L61" s="263">
        <f>Data!C111</f>
        <v>285836363.81</v>
      </c>
      <c r="M61" s="264">
        <f>Data!D111</f>
        <v>626361726.94000006</v>
      </c>
    </row>
    <row r="62" spans="1:13" ht="40.5">
      <c r="A62" s="440"/>
      <c r="B62" s="441"/>
      <c r="C62" s="363"/>
      <c r="D62" s="177"/>
      <c r="E62" s="331"/>
      <c r="F62" s="255"/>
      <c r="G62" s="303"/>
      <c r="H62" s="304"/>
      <c r="I62" s="177"/>
      <c r="J62" s="260" t="str">
        <f>Data!A112</f>
        <v>WRMD</v>
      </c>
      <c r="K62" s="263">
        <f>Data!B112</f>
        <v>138059927.97</v>
      </c>
      <c r="L62" s="263">
        <f>Data!C112</f>
        <v>3161.56</v>
      </c>
      <c r="M62" s="264">
        <f>Data!D112</f>
        <v>138056766.41</v>
      </c>
    </row>
    <row r="63" spans="1:13" ht="36" customHeight="1" thickBot="1">
      <c r="A63" s="440"/>
      <c r="B63" s="441"/>
      <c r="C63" s="363"/>
      <c r="D63" s="177"/>
      <c r="E63" s="331"/>
      <c r="F63" s="255"/>
      <c r="G63" s="303"/>
      <c r="H63" s="304"/>
      <c r="I63" s="177"/>
      <c r="J63" s="260" t="str">
        <f>Data!A113</f>
        <v>Warrant Clearing</v>
      </c>
      <c r="K63" s="263">
        <f>Data!B113</f>
        <v>213892735.72999999</v>
      </c>
      <c r="L63" s="263">
        <f>Data!C113</f>
        <v>213892735.72999999</v>
      </c>
      <c r="M63" s="264">
        <f>Data!D113</f>
        <v>0</v>
      </c>
    </row>
    <row r="64" spans="1:13" ht="42.75" thickBot="1">
      <c r="A64" s="239" t="str">
        <f>Data!D87</f>
        <v>Total Expected Outflows</v>
      </c>
      <c r="B64" s="238"/>
      <c r="C64" s="241">
        <f>SUM(C56:C63)</f>
        <v>-95328331.36999999</v>
      </c>
      <c r="D64" s="177"/>
      <c r="E64" s="239" t="s">
        <v>529</v>
      </c>
      <c r="F64" s="225"/>
      <c r="G64" s="225"/>
      <c r="H64" s="256">
        <f>SUM(H43:H63)</f>
        <v>-22446748.042999759</v>
      </c>
      <c r="I64" s="177"/>
      <c r="J64" s="257" t="s">
        <v>530</v>
      </c>
      <c r="K64" s="258">
        <f>SUM(K43:K63)</f>
        <v>16915204769.42</v>
      </c>
      <c r="L64" s="258">
        <f>SUM(L43:L63)</f>
        <v>1793471388.6000001</v>
      </c>
      <c r="M64" s="259">
        <f>SUM(M43:M63)</f>
        <v>15121733380.82</v>
      </c>
    </row>
    <row r="65" spans="1:13" ht="54" customHeight="1">
      <c r="A65" s="270"/>
      <c r="B65" s="271"/>
      <c r="C65" s="272"/>
      <c r="D65" s="177"/>
      <c r="E65" s="273"/>
      <c r="F65" s="234"/>
      <c r="G65" s="234"/>
      <c r="H65" s="274"/>
      <c r="I65" s="177"/>
      <c r="J65" s="275"/>
      <c r="K65" s="276"/>
      <c r="L65" s="276"/>
      <c r="M65" s="277"/>
    </row>
    <row r="66" spans="1:13" ht="36" customHeight="1">
      <c r="A66" s="442" t="s">
        <v>6813</v>
      </c>
      <c r="B66" s="443"/>
      <c r="C66" s="443"/>
      <c r="D66" s="177"/>
      <c r="E66" s="177"/>
      <c r="F66" s="177"/>
      <c r="G66" s="177"/>
      <c r="H66" s="177"/>
      <c r="I66" s="177"/>
      <c r="J66" s="177"/>
      <c r="K66" s="177"/>
      <c r="L66" s="177"/>
      <c r="M66" s="178"/>
    </row>
    <row r="67" spans="1:13" ht="36" customHeight="1">
      <c r="A67" s="442"/>
      <c r="B67" s="443"/>
      <c r="C67" s="443"/>
      <c r="D67" s="177"/>
      <c r="E67" s="177"/>
      <c r="F67" s="177"/>
      <c r="G67" s="177"/>
      <c r="H67" s="177"/>
      <c r="I67" s="177"/>
      <c r="J67" s="177"/>
      <c r="K67" s="177"/>
      <c r="L67" s="177"/>
      <c r="M67" s="178"/>
    </row>
    <row r="68" spans="1:13" ht="42.75" customHeight="1" thickBot="1">
      <c r="A68" s="444"/>
      <c r="B68" s="445"/>
      <c r="C68" s="445"/>
      <c r="D68" s="185"/>
      <c r="E68" s="185"/>
      <c r="F68" s="185"/>
      <c r="G68" s="185"/>
      <c r="H68" s="185"/>
      <c r="I68" s="185"/>
      <c r="J68" s="185"/>
      <c r="K68" s="185"/>
      <c r="L68" s="185"/>
      <c r="M68" s="186"/>
    </row>
    <row r="69" spans="1:13">
      <c r="A69" s="175"/>
      <c r="B69" s="175"/>
      <c r="C69" s="175"/>
      <c r="D69" s="175"/>
      <c r="E69" s="175"/>
      <c r="F69" s="175"/>
      <c r="G69" s="175"/>
      <c r="H69" s="175"/>
      <c r="I69" s="175"/>
      <c r="J69" s="175"/>
      <c r="K69" s="175"/>
      <c r="L69" s="175"/>
      <c r="M69" s="175"/>
    </row>
    <row r="70" spans="1:13">
      <c r="A70" s="175"/>
      <c r="B70" s="175"/>
      <c r="C70" s="175"/>
      <c r="D70" s="175"/>
      <c r="E70" s="175"/>
      <c r="F70" s="175"/>
      <c r="G70" s="175"/>
      <c r="H70" s="175"/>
      <c r="I70" s="175"/>
      <c r="J70" s="175"/>
      <c r="K70" s="175"/>
      <c r="L70" s="175"/>
      <c r="M70" s="175"/>
    </row>
    <row r="71" spans="1:13">
      <c r="A71" s="175"/>
      <c r="B71" s="175"/>
      <c r="C71" s="175"/>
      <c r="D71" s="175"/>
      <c r="E71" s="175"/>
      <c r="F71" s="175"/>
      <c r="G71" s="175"/>
      <c r="H71" s="175"/>
      <c r="I71" s="175"/>
      <c r="J71" s="175"/>
      <c r="K71" s="175"/>
      <c r="L71" s="175"/>
      <c r="M71" s="175"/>
    </row>
    <row r="72" spans="1:13">
      <c r="A72" s="175"/>
      <c r="B72" s="175"/>
      <c r="C72" s="175"/>
      <c r="D72" s="175"/>
      <c r="E72" s="175"/>
      <c r="F72" s="175"/>
      <c r="G72" s="175"/>
      <c r="H72" s="175"/>
      <c r="I72" s="175"/>
      <c r="J72" s="326"/>
      <c r="K72" s="175"/>
      <c r="L72" s="175"/>
      <c r="M72" s="175"/>
    </row>
    <row r="73" spans="1:13">
      <c r="A73" s="175"/>
      <c r="B73" s="175"/>
      <c r="C73" s="175"/>
      <c r="D73" s="175"/>
      <c r="E73" s="175"/>
      <c r="F73" s="175"/>
      <c r="G73" s="175"/>
      <c r="H73" s="175"/>
      <c r="I73" s="175"/>
      <c r="J73" s="175"/>
      <c r="K73" s="175"/>
      <c r="L73" s="175"/>
      <c r="M73" s="175"/>
    </row>
    <row r="74" spans="1:13">
      <c r="A74" s="175"/>
      <c r="B74" s="175"/>
      <c r="C74" s="175"/>
      <c r="D74" s="175"/>
      <c r="E74" s="175"/>
      <c r="F74" s="175"/>
      <c r="G74" s="175"/>
      <c r="H74" s="175"/>
      <c r="I74" s="175"/>
      <c r="J74" s="175"/>
      <c r="K74" s="175"/>
      <c r="L74" s="175"/>
      <c r="M74" s="175"/>
    </row>
    <row r="75" spans="1:13">
      <c r="A75" s="175"/>
      <c r="B75" s="175"/>
      <c r="C75" s="175"/>
      <c r="D75" s="175"/>
      <c r="E75" s="175"/>
      <c r="F75" s="175"/>
      <c r="G75" s="175"/>
      <c r="H75" s="175"/>
      <c r="I75" s="175"/>
      <c r="J75" s="175"/>
      <c r="K75" s="175"/>
      <c r="L75" s="175"/>
      <c r="M75" s="175"/>
    </row>
    <row r="76" spans="1:13">
      <c r="A76" s="175"/>
      <c r="B76" s="175"/>
      <c r="C76" s="175"/>
      <c r="D76" s="175"/>
      <c r="E76" s="175"/>
      <c r="F76" s="175"/>
      <c r="G76" s="175"/>
      <c r="H76" s="175"/>
      <c r="I76" s="175"/>
      <c r="J76" s="175"/>
      <c r="K76" s="175"/>
      <c r="L76" s="175"/>
      <c r="M76" s="175"/>
    </row>
    <row r="77" spans="1:13">
      <c r="A77" s="175"/>
      <c r="B77" s="175"/>
      <c r="C77" s="175"/>
      <c r="D77" s="175"/>
      <c r="E77" s="175"/>
      <c r="F77" s="175"/>
      <c r="G77" s="175"/>
      <c r="H77" s="175"/>
      <c r="I77" s="175"/>
      <c r="J77" s="175"/>
      <c r="K77" s="175"/>
      <c r="L77" s="175"/>
      <c r="M77" s="175"/>
    </row>
    <row r="78" spans="1:13">
      <c r="A78" s="175"/>
      <c r="B78" s="175"/>
      <c r="C78" s="175"/>
      <c r="D78" s="175"/>
      <c r="E78" s="175"/>
      <c r="F78" s="175"/>
      <c r="G78" s="175"/>
      <c r="H78" s="175"/>
      <c r="I78" s="175"/>
      <c r="J78" s="175"/>
      <c r="K78" s="175"/>
      <c r="L78" s="175"/>
      <c r="M78" s="175"/>
    </row>
    <row r="79" spans="1:13">
      <c r="A79" s="175"/>
      <c r="B79" s="175"/>
      <c r="C79" s="175"/>
      <c r="D79" s="175"/>
      <c r="E79" s="175"/>
      <c r="F79" s="175"/>
      <c r="G79" s="175"/>
      <c r="H79" s="175"/>
      <c r="I79" s="175"/>
      <c r="J79" s="175"/>
      <c r="K79" s="175"/>
      <c r="L79" s="175"/>
      <c r="M79" s="175"/>
    </row>
    <row r="80" spans="1:13">
      <c r="A80" s="175"/>
      <c r="B80" s="175"/>
      <c r="C80" s="175"/>
      <c r="D80" s="175"/>
      <c r="E80" s="175"/>
      <c r="F80" s="175"/>
      <c r="G80" s="175"/>
      <c r="H80" s="175"/>
      <c r="I80" s="175"/>
      <c r="J80" s="175"/>
      <c r="K80" s="175"/>
      <c r="L80" s="175"/>
      <c r="M80" s="175"/>
    </row>
    <row r="81" spans="1:13">
      <c r="A81" s="175"/>
      <c r="B81" s="175"/>
      <c r="C81" s="175"/>
      <c r="D81" s="175"/>
      <c r="E81" s="175"/>
      <c r="F81" s="175"/>
      <c r="G81" s="175"/>
      <c r="H81" s="175"/>
      <c r="I81" s="175"/>
      <c r="J81" s="175"/>
      <c r="K81" s="175"/>
      <c r="L81" s="175"/>
      <c r="M81" s="175"/>
    </row>
    <row r="82" spans="1:13">
      <c r="A82" s="175"/>
      <c r="B82" s="175"/>
      <c r="C82" s="175"/>
      <c r="D82" s="175"/>
      <c r="E82" s="175"/>
      <c r="F82" s="175"/>
      <c r="G82" s="175"/>
      <c r="H82" s="175"/>
      <c r="I82" s="175"/>
      <c r="J82" s="175"/>
      <c r="K82" s="175"/>
      <c r="L82" s="175"/>
      <c r="M82" s="175"/>
    </row>
    <row r="83" spans="1:13">
      <c r="A83" s="175"/>
      <c r="B83" s="175"/>
      <c r="C83" s="175"/>
      <c r="D83" s="175"/>
      <c r="E83" s="175"/>
      <c r="F83" s="175"/>
      <c r="G83" s="175"/>
      <c r="H83" s="175"/>
      <c r="I83" s="175"/>
      <c r="J83" s="175"/>
      <c r="K83" s="175"/>
      <c r="L83" s="175"/>
      <c r="M83" s="175"/>
    </row>
    <row r="84" spans="1:13">
      <c r="A84" s="175"/>
      <c r="B84" s="175"/>
      <c r="C84" s="175"/>
      <c r="D84" s="175"/>
      <c r="E84" s="175"/>
      <c r="F84" s="175"/>
      <c r="G84" s="175"/>
      <c r="H84" s="175"/>
      <c r="I84" s="175"/>
      <c r="J84" s="175"/>
      <c r="K84" s="175"/>
      <c r="L84" s="175"/>
      <c r="M84" s="175"/>
    </row>
    <row r="85" spans="1:13">
      <c r="A85" s="175"/>
      <c r="B85" s="175"/>
      <c r="C85" s="175"/>
      <c r="D85" s="175"/>
      <c r="E85" s="175"/>
      <c r="F85" s="175"/>
      <c r="G85" s="175"/>
      <c r="H85" s="175"/>
      <c r="I85" s="175"/>
      <c r="J85" s="175"/>
      <c r="K85" s="175"/>
      <c r="L85" s="175"/>
      <c r="M85" s="175"/>
    </row>
    <row r="86" spans="1:13">
      <c r="A86" s="175"/>
      <c r="B86" s="175"/>
      <c r="C86" s="175"/>
      <c r="D86" s="175"/>
      <c r="E86" s="175"/>
      <c r="F86" s="175"/>
      <c r="G86" s="175"/>
      <c r="H86" s="175"/>
      <c r="I86" s="175"/>
      <c r="J86" s="175"/>
      <c r="K86" s="175"/>
      <c r="L86" s="175"/>
      <c r="M86" s="175"/>
    </row>
    <row r="87" spans="1:13">
      <c r="A87" s="175"/>
      <c r="B87" s="175"/>
      <c r="C87" s="175"/>
      <c r="D87" s="175"/>
      <c r="E87" s="175"/>
      <c r="F87" s="175"/>
      <c r="G87" s="175"/>
      <c r="H87" s="175"/>
      <c r="I87" s="175"/>
      <c r="J87" s="175"/>
      <c r="K87" s="175"/>
      <c r="L87" s="175"/>
      <c r="M87" s="175"/>
    </row>
    <row r="88" spans="1:13">
      <c r="A88" s="175"/>
      <c r="B88" s="175"/>
      <c r="C88" s="175"/>
      <c r="D88" s="175"/>
      <c r="E88" s="175"/>
      <c r="F88" s="175"/>
      <c r="G88" s="175"/>
      <c r="H88" s="175"/>
      <c r="I88" s="175"/>
      <c r="J88" s="175"/>
      <c r="K88" s="175"/>
      <c r="L88" s="175"/>
      <c r="M88" s="175"/>
    </row>
    <row r="89" spans="1:13">
      <c r="A89" s="175"/>
      <c r="B89" s="175"/>
      <c r="C89" s="175"/>
      <c r="D89" s="175"/>
      <c r="E89" s="175"/>
      <c r="F89" s="175"/>
      <c r="G89" s="175"/>
      <c r="H89" s="175"/>
      <c r="I89" s="175"/>
      <c r="J89" s="175"/>
      <c r="K89" s="175"/>
      <c r="L89" s="175"/>
      <c r="M89" s="175"/>
    </row>
    <row r="90" spans="1:13">
      <c r="A90" s="175"/>
      <c r="B90" s="175"/>
      <c r="C90" s="175"/>
      <c r="D90" s="175"/>
      <c r="E90" s="175"/>
      <c r="F90" s="175"/>
      <c r="G90" s="175"/>
      <c r="H90" s="175"/>
      <c r="I90" s="175"/>
      <c r="J90" s="175"/>
      <c r="K90" s="175"/>
      <c r="L90" s="175"/>
      <c r="M90" s="175"/>
    </row>
    <row r="91" spans="1:13">
      <c r="A91" s="175"/>
      <c r="B91" s="175"/>
      <c r="C91" s="175"/>
      <c r="D91" s="175"/>
      <c r="E91" s="175"/>
      <c r="F91" s="175"/>
      <c r="G91" s="175"/>
      <c r="H91" s="175"/>
      <c r="I91" s="175"/>
      <c r="J91" s="175"/>
      <c r="K91" s="175"/>
      <c r="L91" s="175"/>
      <c r="M91" s="175"/>
    </row>
    <row r="92" spans="1:13">
      <c r="A92" s="175"/>
      <c r="B92" s="175"/>
      <c r="C92" s="175"/>
      <c r="D92" s="175"/>
      <c r="E92" s="175"/>
      <c r="F92" s="175"/>
      <c r="G92" s="175"/>
      <c r="H92" s="175"/>
      <c r="I92" s="175"/>
      <c r="J92" s="175"/>
      <c r="K92" s="175"/>
      <c r="L92" s="175"/>
      <c r="M92" s="175"/>
    </row>
    <row r="93" spans="1:13">
      <c r="A93" s="175"/>
      <c r="B93" s="175"/>
      <c r="C93" s="175"/>
      <c r="D93" s="175"/>
      <c r="E93" s="175"/>
      <c r="F93" s="175"/>
      <c r="G93" s="175"/>
      <c r="H93" s="175"/>
      <c r="I93" s="175"/>
      <c r="J93" s="175"/>
      <c r="K93" s="175"/>
      <c r="L93" s="175"/>
      <c r="M93" s="175"/>
    </row>
    <row r="94" spans="1:13">
      <c r="A94" s="175"/>
      <c r="B94" s="175"/>
      <c r="C94" s="175"/>
      <c r="D94" s="175"/>
      <c r="E94" s="175"/>
      <c r="F94" s="175"/>
      <c r="G94" s="175"/>
      <c r="H94" s="175"/>
      <c r="I94" s="175"/>
      <c r="J94" s="175"/>
      <c r="K94" s="175"/>
      <c r="L94" s="175"/>
      <c r="M94" s="175"/>
    </row>
    <row r="95" spans="1:13">
      <c r="A95" s="175"/>
      <c r="B95" s="175"/>
      <c r="C95" s="175"/>
      <c r="D95" s="175"/>
      <c r="E95" s="175"/>
      <c r="F95" s="175"/>
      <c r="G95" s="175"/>
      <c r="H95" s="175"/>
      <c r="I95" s="175"/>
      <c r="J95" s="175"/>
      <c r="K95" s="175"/>
      <c r="L95" s="175"/>
      <c r="M95" s="175"/>
    </row>
    <row r="96" spans="1:13">
      <c r="A96" s="175"/>
      <c r="B96" s="175"/>
      <c r="C96" s="175"/>
      <c r="D96" s="175"/>
      <c r="E96" s="175"/>
      <c r="F96" s="175"/>
      <c r="G96" s="175"/>
      <c r="H96" s="175"/>
      <c r="I96" s="175"/>
      <c r="J96" s="175"/>
      <c r="K96" s="175"/>
      <c r="L96" s="175"/>
      <c r="M96" s="175"/>
    </row>
    <row r="97" spans="1:23">
      <c r="A97" s="175"/>
      <c r="B97" s="175"/>
      <c r="C97" s="175"/>
      <c r="D97" s="175"/>
      <c r="E97" s="175"/>
      <c r="F97" s="175"/>
      <c r="G97" s="175"/>
      <c r="H97" s="175"/>
      <c r="I97" s="175"/>
      <c r="J97" s="175"/>
      <c r="K97" s="175"/>
      <c r="L97" s="175"/>
      <c r="M97" s="175"/>
    </row>
    <row r="98" spans="1:23">
      <c r="A98" s="175"/>
      <c r="B98" s="175"/>
      <c r="C98" s="175"/>
      <c r="D98" s="175"/>
      <c r="E98" s="175"/>
      <c r="F98" s="175"/>
      <c r="G98" s="175"/>
      <c r="H98" s="175"/>
      <c r="I98" s="175"/>
      <c r="J98" s="175"/>
      <c r="K98" s="175"/>
      <c r="L98" s="175"/>
      <c r="M98" s="175"/>
    </row>
    <row r="99" spans="1:23">
      <c r="A99" s="175"/>
      <c r="B99" s="175"/>
      <c r="C99" s="175"/>
      <c r="D99" s="175"/>
      <c r="E99" s="175"/>
      <c r="F99" s="175"/>
      <c r="G99" s="175"/>
      <c r="H99" s="175"/>
      <c r="I99" s="175"/>
      <c r="J99" s="175"/>
      <c r="K99" s="175"/>
      <c r="L99" s="175"/>
      <c r="M99" s="175"/>
    </row>
    <row r="100" spans="1:23">
      <c r="A100" s="175"/>
      <c r="B100" s="175"/>
      <c r="C100" s="175"/>
      <c r="D100" s="175"/>
      <c r="E100" s="175"/>
      <c r="F100" s="175"/>
      <c r="G100" s="175"/>
      <c r="H100" s="175"/>
      <c r="I100" s="175"/>
      <c r="J100" s="175"/>
      <c r="K100" s="175"/>
      <c r="L100" s="175"/>
      <c r="M100" s="175"/>
    </row>
    <row r="101" spans="1:23">
      <c r="A101" s="175"/>
      <c r="B101" s="175"/>
      <c r="C101" s="175"/>
      <c r="D101" s="175"/>
      <c r="E101" s="175"/>
      <c r="F101" s="175"/>
      <c r="G101" s="175"/>
      <c r="H101" s="175"/>
      <c r="I101" s="175"/>
      <c r="J101" s="175"/>
      <c r="K101" s="175"/>
      <c r="L101" s="175"/>
      <c r="M101" s="175"/>
    </row>
    <row r="102" spans="1:23">
      <c r="A102" s="175"/>
      <c r="B102" s="175"/>
      <c r="C102" s="175"/>
      <c r="D102" s="175"/>
      <c r="E102" s="175"/>
      <c r="F102" s="175"/>
      <c r="G102" s="175"/>
      <c r="H102" s="175"/>
      <c r="I102" s="175"/>
      <c r="J102" s="175"/>
      <c r="K102" s="175"/>
      <c r="L102" s="175"/>
      <c r="M102" s="175"/>
    </row>
    <row r="103" spans="1:23">
      <c r="A103" s="175"/>
      <c r="B103" s="175"/>
      <c r="C103" s="175"/>
      <c r="D103" s="175"/>
      <c r="E103" s="175"/>
      <c r="F103" s="175"/>
      <c r="G103" s="175"/>
      <c r="H103" s="175"/>
      <c r="I103" s="175"/>
      <c r="J103" s="175"/>
      <c r="K103" s="175"/>
      <c r="L103" s="175"/>
      <c r="M103" s="175"/>
    </row>
    <row r="104" spans="1:23">
      <c r="A104" s="175"/>
      <c r="B104" s="175"/>
      <c r="C104" s="175"/>
      <c r="D104" s="175"/>
      <c r="E104" s="175"/>
      <c r="F104" s="175"/>
      <c r="G104" s="175"/>
      <c r="H104" s="175"/>
      <c r="I104" s="175"/>
      <c r="J104" s="175"/>
      <c r="K104" s="175"/>
      <c r="L104" s="175"/>
      <c r="M104" s="175"/>
    </row>
    <row r="105" spans="1:23">
      <c r="A105" s="175"/>
      <c r="B105" s="175"/>
      <c r="C105" s="175"/>
      <c r="D105" s="175"/>
      <c r="E105" s="175"/>
      <c r="F105" s="175"/>
      <c r="G105" s="175"/>
      <c r="H105" s="175"/>
      <c r="I105" s="175"/>
      <c r="J105" s="175"/>
      <c r="K105" s="175"/>
      <c r="L105" s="175"/>
      <c r="M105" s="175"/>
    </row>
    <row r="106" spans="1:23">
      <c r="A106" s="175"/>
      <c r="B106" s="175"/>
      <c r="C106" s="175"/>
      <c r="D106" s="175"/>
      <c r="E106" s="175"/>
      <c r="F106" s="175"/>
      <c r="G106" s="175"/>
      <c r="H106" s="175"/>
      <c r="I106" s="175"/>
      <c r="J106" s="175"/>
      <c r="K106" s="175"/>
      <c r="L106" s="175"/>
      <c r="M106" s="175"/>
    </row>
    <row r="107" spans="1:23">
      <c r="A107" s="175"/>
      <c r="B107" s="175"/>
      <c r="C107" s="175"/>
      <c r="D107" s="175"/>
      <c r="E107" s="175"/>
      <c r="F107" s="175"/>
      <c r="G107" s="175"/>
      <c r="H107" s="175"/>
      <c r="I107" s="175"/>
      <c r="J107" s="175"/>
      <c r="K107" s="175"/>
      <c r="L107" s="175"/>
      <c r="M107" s="175"/>
    </row>
    <row r="108" spans="1:23">
      <c r="A108" s="175"/>
      <c r="B108" s="175"/>
      <c r="C108" s="175"/>
      <c r="D108" s="175"/>
      <c r="E108" s="175"/>
      <c r="F108" s="175"/>
      <c r="G108" s="175"/>
      <c r="H108" s="175"/>
      <c r="I108" s="175"/>
      <c r="J108" s="175"/>
      <c r="K108" s="175"/>
      <c r="L108" s="175"/>
      <c r="M108" s="175"/>
    </row>
    <row r="109" spans="1:23">
      <c r="A109" s="171"/>
      <c r="B109" s="171"/>
      <c r="C109" s="171"/>
      <c r="D109" s="171"/>
      <c r="E109" s="171"/>
      <c r="F109" s="171"/>
      <c r="G109" s="171"/>
      <c r="H109" s="171"/>
      <c r="I109" s="171"/>
      <c r="J109" s="171"/>
      <c r="K109" s="171"/>
      <c r="L109" s="171"/>
      <c r="M109" s="171"/>
      <c r="N109" s="170"/>
      <c r="O109" s="170"/>
      <c r="P109" s="170"/>
      <c r="Q109" s="170"/>
      <c r="R109" s="170"/>
      <c r="S109" s="170"/>
      <c r="T109" s="170"/>
      <c r="U109" s="170"/>
      <c r="V109" s="170"/>
      <c r="W109" s="170"/>
    </row>
    <row r="110" spans="1:23">
      <c r="A110" s="171"/>
      <c r="B110" s="171"/>
      <c r="C110" s="171"/>
      <c r="D110" s="171"/>
      <c r="E110" s="171"/>
      <c r="F110" s="171"/>
      <c r="G110" s="171"/>
      <c r="H110" s="171"/>
      <c r="I110" s="171"/>
      <c r="J110" s="171"/>
      <c r="K110" s="171"/>
      <c r="L110" s="171"/>
      <c r="M110" s="171"/>
      <c r="N110" s="170"/>
      <c r="O110" s="170"/>
      <c r="P110" s="170"/>
      <c r="Q110" s="170"/>
      <c r="R110" s="170"/>
      <c r="S110" s="170"/>
      <c r="T110" s="170"/>
      <c r="U110" s="170"/>
      <c r="V110" s="170"/>
      <c r="W110" s="170"/>
    </row>
    <row r="111" spans="1:23">
      <c r="A111" s="171"/>
      <c r="B111" s="171"/>
      <c r="C111" s="171"/>
      <c r="D111" s="171"/>
      <c r="E111" s="171"/>
      <c r="F111" s="171"/>
      <c r="G111" s="171"/>
      <c r="H111" s="171"/>
      <c r="I111" s="171"/>
      <c r="J111" s="171"/>
      <c r="K111" s="171"/>
      <c r="L111" s="171"/>
      <c r="M111" s="171"/>
      <c r="N111" s="170"/>
      <c r="O111" s="170"/>
      <c r="P111" s="170"/>
      <c r="Q111" s="170"/>
      <c r="R111" s="170"/>
      <c r="S111" s="170"/>
      <c r="T111" s="170"/>
      <c r="U111" s="170"/>
      <c r="V111" s="170"/>
      <c r="W111" s="170"/>
    </row>
    <row r="112" spans="1:23">
      <c r="A112" s="171"/>
      <c r="B112" s="171"/>
      <c r="C112" s="171"/>
      <c r="D112" s="171"/>
      <c r="E112" s="171"/>
      <c r="F112" s="171"/>
      <c r="G112" s="171"/>
      <c r="H112" s="171"/>
      <c r="I112" s="171"/>
      <c r="J112" s="171"/>
      <c r="K112" s="171"/>
      <c r="L112" s="171"/>
      <c r="M112" s="171"/>
      <c r="N112" s="170"/>
      <c r="O112" s="170"/>
      <c r="P112" s="170"/>
      <c r="Q112" s="170"/>
      <c r="R112" s="170"/>
      <c r="S112" s="170"/>
      <c r="T112" s="170"/>
      <c r="U112" s="170"/>
      <c r="V112" s="170"/>
      <c r="W112" s="170"/>
    </row>
    <row r="113" spans="1:23">
      <c r="A113" s="171"/>
      <c r="B113" s="171"/>
      <c r="C113" s="171"/>
      <c r="D113" s="171"/>
      <c r="E113" s="171"/>
      <c r="F113" s="171"/>
      <c r="G113" s="171"/>
      <c r="H113" s="171"/>
      <c r="I113" s="171"/>
      <c r="J113" s="171"/>
      <c r="K113" s="171"/>
      <c r="L113" s="171"/>
      <c r="M113" s="171"/>
      <c r="N113" s="170"/>
      <c r="O113" s="170"/>
      <c r="P113" s="170"/>
      <c r="Q113" s="170"/>
      <c r="R113" s="170"/>
      <c r="S113" s="170"/>
      <c r="T113" s="170"/>
      <c r="U113" s="170"/>
      <c r="V113" s="170"/>
      <c r="W113" s="170"/>
    </row>
    <row r="114" spans="1:23">
      <c r="A114" s="171"/>
      <c r="B114" s="171"/>
      <c r="C114" s="171"/>
      <c r="D114" s="171"/>
      <c r="E114" s="171"/>
      <c r="F114" s="171"/>
      <c r="G114" s="171"/>
      <c r="H114" s="171"/>
      <c r="I114" s="171"/>
      <c r="J114" s="171"/>
      <c r="K114" s="171"/>
      <c r="L114" s="171"/>
      <c r="M114" s="171"/>
      <c r="N114" s="170"/>
      <c r="O114" s="170"/>
      <c r="P114" s="170"/>
      <c r="Q114" s="170"/>
      <c r="R114" s="170"/>
      <c r="S114" s="170"/>
      <c r="T114" s="170"/>
      <c r="U114" s="170"/>
      <c r="V114" s="170"/>
      <c r="W114" s="170"/>
    </row>
    <row r="115" spans="1:23">
      <c r="A115" s="171"/>
      <c r="B115" s="171"/>
      <c r="C115" s="171"/>
      <c r="D115" s="171"/>
      <c r="E115" s="171"/>
      <c r="F115" s="171"/>
      <c r="G115" s="171"/>
      <c r="H115" s="171"/>
      <c r="I115" s="171"/>
      <c r="J115" s="171"/>
      <c r="K115" s="171"/>
      <c r="L115" s="171"/>
      <c r="M115" s="171"/>
      <c r="N115" s="170"/>
      <c r="O115" s="170"/>
      <c r="P115" s="170"/>
      <c r="Q115" s="170"/>
      <c r="R115" s="170"/>
      <c r="S115" s="170"/>
      <c r="T115" s="170"/>
      <c r="U115" s="170"/>
      <c r="V115" s="170"/>
      <c r="W115" s="170"/>
    </row>
    <row r="116" spans="1:23">
      <c r="A116" s="171"/>
      <c r="B116" s="171"/>
      <c r="C116" s="171"/>
      <c r="D116" s="171"/>
      <c r="E116" s="171"/>
      <c r="F116" s="171"/>
      <c r="G116" s="171"/>
      <c r="H116" s="171"/>
      <c r="I116" s="171"/>
      <c r="J116" s="171"/>
      <c r="K116" s="171"/>
      <c r="L116" s="171"/>
      <c r="M116" s="171"/>
      <c r="N116" s="170"/>
      <c r="O116" s="170"/>
      <c r="P116" s="170"/>
      <c r="Q116" s="170"/>
      <c r="R116" s="170"/>
      <c r="S116" s="170"/>
      <c r="T116" s="170"/>
      <c r="U116" s="170"/>
      <c r="V116" s="170"/>
      <c r="W116" s="170"/>
    </row>
    <row r="117" spans="1:23">
      <c r="A117" s="171"/>
      <c r="B117" s="171"/>
      <c r="C117" s="171"/>
      <c r="D117" s="171"/>
      <c r="E117" s="171"/>
      <c r="F117" s="171"/>
      <c r="G117" s="171"/>
      <c r="H117" s="171"/>
      <c r="I117" s="171"/>
      <c r="J117" s="171"/>
      <c r="K117" s="171"/>
      <c r="L117" s="171"/>
      <c r="M117" s="171"/>
      <c r="N117" s="170"/>
      <c r="O117" s="170"/>
      <c r="P117" s="170"/>
      <c r="Q117" s="170"/>
      <c r="R117" s="170"/>
      <c r="S117" s="170"/>
      <c r="T117" s="170"/>
      <c r="U117" s="170"/>
      <c r="V117" s="170"/>
      <c r="W117" s="170"/>
    </row>
    <row r="118" spans="1:23">
      <c r="A118" s="171"/>
      <c r="B118" s="171"/>
      <c r="C118" s="171"/>
      <c r="D118" s="171"/>
      <c r="E118" s="171"/>
      <c r="F118" s="171"/>
      <c r="G118" s="171"/>
      <c r="H118" s="171"/>
      <c r="I118" s="171"/>
      <c r="J118" s="171"/>
      <c r="K118" s="171"/>
      <c r="L118" s="171"/>
      <c r="M118" s="171"/>
      <c r="N118" s="170"/>
      <c r="O118" s="170"/>
      <c r="P118" s="170"/>
      <c r="Q118" s="170"/>
      <c r="R118" s="170"/>
      <c r="S118" s="170"/>
      <c r="T118" s="170"/>
      <c r="U118" s="170"/>
      <c r="V118" s="170"/>
      <c r="W118" s="170"/>
    </row>
    <row r="119" spans="1:23">
      <c r="A119" s="171"/>
      <c r="B119" s="171"/>
      <c r="C119" s="171"/>
      <c r="D119" s="171"/>
      <c r="E119" s="171"/>
      <c r="F119" s="171"/>
      <c r="G119" s="171"/>
      <c r="H119" s="171"/>
      <c r="I119" s="171"/>
      <c r="J119" s="171"/>
      <c r="K119" s="171"/>
      <c r="L119" s="171"/>
      <c r="M119" s="171"/>
      <c r="N119" s="170"/>
      <c r="O119" s="170"/>
      <c r="P119" s="170"/>
      <c r="Q119" s="170"/>
      <c r="R119" s="170"/>
      <c r="S119" s="170"/>
      <c r="T119" s="170"/>
      <c r="U119" s="170"/>
      <c r="V119" s="170"/>
      <c r="W119" s="170"/>
    </row>
    <row r="120" spans="1:23">
      <c r="A120" s="171"/>
      <c r="B120" s="171"/>
      <c r="C120" s="171"/>
      <c r="D120" s="171"/>
      <c r="E120" s="171"/>
      <c r="F120" s="171"/>
      <c r="G120" s="171"/>
      <c r="H120" s="171"/>
      <c r="I120" s="171"/>
      <c r="J120" s="171"/>
      <c r="K120" s="171"/>
      <c r="L120" s="171"/>
      <c r="M120" s="171"/>
      <c r="N120" s="170"/>
      <c r="O120" s="170"/>
      <c r="P120" s="170"/>
      <c r="Q120" s="170"/>
      <c r="R120" s="170"/>
      <c r="S120" s="170"/>
      <c r="T120" s="170"/>
      <c r="U120" s="170"/>
      <c r="V120" s="170"/>
      <c r="W120" s="170"/>
    </row>
    <row r="121" spans="1:23">
      <c r="A121" s="171"/>
      <c r="B121" s="171"/>
      <c r="C121" s="171"/>
      <c r="D121" s="171"/>
      <c r="E121" s="171"/>
      <c r="F121" s="171"/>
      <c r="G121" s="171"/>
      <c r="H121" s="171"/>
      <c r="I121" s="171"/>
      <c r="J121" s="171"/>
      <c r="K121" s="171"/>
      <c r="L121" s="171"/>
      <c r="M121" s="171"/>
      <c r="N121" s="170"/>
      <c r="O121" s="170"/>
      <c r="P121" s="170"/>
      <c r="Q121" s="170"/>
      <c r="R121" s="170"/>
      <c r="S121" s="170"/>
      <c r="T121" s="170"/>
      <c r="U121" s="170"/>
      <c r="V121" s="170"/>
      <c r="W121" s="170"/>
    </row>
    <row r="122" spans="1:23">
      <c r="A122" s="171"/>
      <c r="B122" s="171"/>
      <c r="C122" s="171"/>
      <c r="D122" s="171"/>
      <c r="E122" s="171"/>
      <c r="F122" s="171"/>
      <c r="G122" s="171"/>
      <c r="H122" s="171"/>
      <c r="I122" s="171"/>
      <c r="J122" s="171"/>
      <c r="K122" s="171"/>
      <c r="L122" s="171"/>
      <c r="M122" s="171"/>
      <c r="N122" s="170"/>
      <c r="O122" s="170"/>
      <c r="P122" s="170"/>
      <c r="Q122" s="170"/>
      <c r="R122" s="170"/>
      <c r="S122" s="170"/>
      <c r="T122" s="170"/>
      <c r="U122" s="170"/>
      <c r="V122" s="170"/>
      <c r="W122" s="170"/>
    </row>
    <row r="123" spans="1:23">
      <c r="A123" s="171"/>
      <c r="B123" s="171"/>
      <c r="C123" s="171"/>
      <c r="D123" s="171"/>
      <c r="E123" s="171"/>
      <c r="F123" s="171"/>
      <c r="G123" s="171"/>
      <c r="H123" s="171"/>
      <c r="I123" s="171"/>
      <c r="J123" s="171"/>
      <c r="K123" s="171"/>
      <c r="L123" s="171"/>
      <c r="M123" s="171"/>
      <c r="N123" s="170"/>
      <c r="O123" s="170"/>
      <c r="P123" s="170"/>
      <c r="Q123" s="170"/>
      <c r="R123" s="170"/>
      <c r="S123" s="170"/>
      <c r="T123" s="170"/>
      <c r="U123" s="170"/>
      <c r="V123" s="170"/>
      <c r="W123" s="170"/>
    </row>
    <row r="124" spans="1:23">
      <c r="A124" s="171"/>
      <c r="B124" s="171"/>
      <c r="C124" s="171"/>
      <c r="D124" s="171"/>
      <c r="E124" s="171"/>
      <c r="F124" s="171"/>
      <c r="G124" s="171"/>
      <c r="H124" s="171"/>
      <c r="I124" s="171"/>
      <c r="J124" s="171"/>
      <c r="K124" s="171"/>
      <c r="L124" s="171"/>
      <c r="M124" s="171"/>
      <c r="N124" s="170"/>
      <c r="O124" s="170"/>
      <c r="P124" s="170"/>
      <c r="Q124" s="170"/>
      <c r="R124" s="170"/>
      <c r="S124" s="170"/>
      <c r="T124" s="170"/>
      <c r="U124" s="170"/>
      <c r="V124" s="170"/>
      <c r="W124" s="170"/>
    </row>
    <row r="125" spans="1:23">
      <c r="A125" s="171"/>
      <c r="B125" s="171"/>
      <c r="C125" s="171"/>
      <c r="D125" s="171"/>
      <c r="E125" s="171"/>
      <c r="F125" s="171"/>
      <c r="G125" s="171"/>
      <c r="H125" s="171"/>
      <c r="I125" s="171"/>
      <c r="J125" s="171"/>
      <c r="K125" s="171"/>
      <c r="L125" s="171"/>
      <c r="M125" s="171"/>
      <c r="N125" s="170"/>
      <c r="O125" s="170"/>
      <c r="P125" s="170"/>
      <c r="Q125" s="170"/>
      <c r="R125" s="170"/>
      <c r="S125" s="170"/>
      <c r="T125" s="170"/>
      <c r="U125" s="170"/>
      <c r="V125" s="170"/>
      <c r="W125" s="170"/>
    </row>
    <row r="126" spans="1:23">
      <c r="A126" s="171"/>
      <c r="B126" s="171"/>
      <c r="C126" s="171"/>
      <c r="D126" s="171"/>
      <c r="E126" s="171"/>
      <c r="F126" s="171"/>
      <c r="G126" s="171"/>
      <c r="H126" s="171"/>
      <c r="I126" s="171"/>
      <c r="J126" s="171"/>
      <c r="K126" s="171"/>
      <c r="L126" s="171"/>
      <c r="M126" s="171"/>
      <c r="N126" s="170"/>
      <c r="O126" s="170"/>
      <c r="P126" s="170"/>
      <c r="Q126" s="170"/>
      <c r="R126" s="170"/>
      <c r="S126" s="170"/>
      <c r="T126" s="170"/>
      <c r="U126" s="170"/>
      <c r="V126" s="170"/>
      <c r="W126" s="170"/>
    </row>
    <row r="127" spans="1:23">
      <c r="A127" s="171"/>
      <c r="B127" s="171"/>
      <c r="C127" s="171"/>
      <c r="D127" s="171"/>
      <c r="E127" s="171"/>
      <c r="F127" s="171"/>
      <c r="G127" s="171"/>
      <c r="H127" s="171"/>
      <c r="I127" s="171"/>
      <c r="J127" s="171"/>
      <c r="K127" s="171"/>
      <c r="L127" s="171"/>
      <c r="M127" s="171"/>
      <c r="N127" s="170"/>
      <c r="O127" s="170"/>
      <c r="P127" s="170"/>
      <c r="Q127" s="170"/>
      <c r="R127" s="170"/>
      <c r="S127" s="170"/>
      <c r="T127" s="170"/>
      <c r="U127" s="170"/>
      <c r="V127" s="170"/>
      <c r="W127" s="170"/>
    </row>
    <row r="128" spans="1:23">
      <c r="A128" s="171"/>
      <c r="B128" s="171"/>
      <c r="C128" s="171"/>
      <c r="D128" s="171"/>
      <c r="E128" s="171"/>
      <c r="F128" s="171"/>
      <c r="G128" s="171"/>
      <c r="H128" s="171"/>
      <c r="I128" s="171"/>
      <c r="J128" s="171"/>
      <c r="K128" s="171"/>
      <c r="L128" s="171"/>
      <c r="M128" s="171"/>
      <c r="N128" s="170"/>
      <c r="O128" s="170"/>
      <c r="P128" s="170"/>
      <c r="Q128" s="170"/>
      <c r="R128" s="170"/>
      <c r="S128" s="170"/>
      <c r="T128" s="170"/>
      <c r="U128" s="170"/>
      <c r="V128" s="170"/>
      <c r="W128" s="170"/>
    </row>
    <row r="129" spans="1:23">
      <c r="A129" s="171"/>
      <c r="B129" s="171"/>
      <c r="C129" s="171"/>
      <c r="D129" s="171"/>
      <c r="E129" s="171"/>
      <c r="F129" s="171"/>
      <c r="G129" s="171"/>
      <c r="H129" s="171"/>
      <c r="I129" s="171"/>
      <c r="J129" s="171"/>
      <c r="K129" s="171"/>
      <c r="L129" s="171"/>
      <c r="M129" s="171"/>
      <c r="N129" s="170"/>
      <c r="O129" s="170"/>
      <c r="P129" s="170"/>
      <c r="Q129" s="170"/>
      <c r="R129" s="170"/>
      <c r="S129" s="170"/>
      <c r="T129" s="170"/>
      <c r="U129" s="170"/>
      <c r="V129" s="170"/>
      <c r="W129" s="170"/>
    </row>
    <row r="130" spans="1:23">
      <c r="A130" s="171"/>
      <c r="B130" s="171"/>
      <c r="C130" s="171"/>
      <c r="D130" s="171"/>
      <c r="E130" s="171"/>
      <c r="F130" s="171"/>
      <c r="G130" s="171"/>
      <c r="H130" s="171"/>
      <c r="I130" s="171"/>
      <c r="J130" s="171"/>
      <c r="K130" s="171"/>
      <c r="L130" s="171"/>
      <c r="M130" s="171"/>
      <c r="N130" s="170"/>
      <c r="O130" s="170"/>
      <c r="P130" s="170"/>
      <c r="Q130" s="170"/>
      <c r="R130" s="170"/>
      <c r="S130" s="170"/>
      <c r="T130" s="170"/>
      <c r="U130" s="170"/>
      <c r="V130" s="170"/>
      <c r="W130" s="170"/>
    </row>
    <row r="131" spans="1:23">
      <c r="A131" s="171"/>
      <c r="B131" s="171"/>
      <c r="C131" s="171"/>
      <c r="D131" s="171"/>
      <c r="E131" s="171"/>
      <c r="F131" s="171"/>
      <c r="G131" s="171"/>
      <c r="H131" s="171"/>
      <c r="I131" s="171"/>
      <c r="J131" s="171"/>
      <c r="K131" s="171"/>
      <c r="L131" s="171"/>
      <c r="M131" s="171"/>
      <c r="N131" s="170"/>
      <c r="O131" s="170"/>
      <c r="P131" s="170"/>
      <c r="Q131" s="170"/>
      <c r="R131" s="170"/>
      <c r="S131" s="170"/>
      <c r="T131" s="170"/>
      <c r="U131" s="170"/>
      <c r="V131" s="170"/>
      <c r="W131" s="170"/>
    </row>
    <row r="132" spans="1:23">
      <c r="A132" s="171"/>
      <c r="B132" s="171"/>
      <c r="C132" s="171"/>
      <c r="D132" s="171"/>
      <c r="E132" s="171"/>
      <c r="F132" s="171"/>
      <c r="G132" s="171"/>
      <c r="H132" s="171"/>
      <c r="I132" s="171"/>
      <c r="J132" s="171"/>
      <c r="K132" s="171"/>
      <c r="L132" s="171"/>
      <c r="M132" s="171"/>
      <c r="N132" s="170"/>
      <c r="O132" s="170"/>
      <c r="P132" s="170"/>
      <c r="Q132" s="170"/>
      <c r="R132" s="170"/>
      <c r="S132" s="170"/>
      <c r="T132" s="170"/>
      <c r="U132" s="170"/>
      <c r="V132" s="170"/>
      <c r="W132" s="170"/>
    </row>
    <row r="133" spans="1:23">
      <c r="A133" s="171"/>
      <c r="B133" s="171"/>
      <c r="C133" s="171"/>
      <c r="D133" s="171"/>
      <c r="E133" s="171"/>
      <c r="F133" s="171"/>
      <c r="G133" s="171"/>
      <c r="H133" s="171"/>
      <c r="I133" s="171"/>
      <c r="J133" s="171"/>
      <c r="K133" s="171"/>
      <c r="L133" s="171"/>
      <c r="M133" s="171"/>
      <c r="N133" s="170"/>
      <c r="O133" s="170"/>
      <c r="P133" s="170"/>
      <c r="Q133" s="170"/>
      <c r="R133" s="170"/>
      <c r="S133" s="170"/>
      <c r="T133" s="170"/>
      <c r="U133" s="170"/>
      <c r="V133" s="170"/>
      <c r="W133" s="170"/>
    </row>
    <row r="134" spans="1:23">
      <c r="A134" s="171"/>
      <c r="B134" s="171"/>
      <c r="C134" s="171"/>
      <c r="D134" s="171"/>
      <c r="E134" s="171"/>
      <c r="F134" s="171"/>
      <c r="G134" s="171"/>
      <c r="H134" s="171"/>
      <c r="I134" s="171"/>
      <c r="J134" s="171"/>
      <c r="K134" s="171"/>
      <c r="L134" s="171"/>
      <c r="M134" s="171"/>
      <c r="N134" s="170"/>
      <c r="O134" s="170"/>
      <c r="P134" s="170"/>
      <c r="Q134" s="170"/>
      <c r="R134" s="170"/>
      <c r="S134" s="170"/>
      <c r="T134" s="170"/>
      <c r="U134" s="170"/>
      <c r="V134" s="170"/>
      <c r="W134" s="170"/>
    </row>
    <row r="135" spans="1:23">
      <c r="A135" s="171"/>
      <c r="B135" s="171"/>
      <c r="C135" s="171"/>
      <c r="D135" s="171"/>
      <c r="E135" s="171"/>
      <c r="F135" s="171"/>
      <c r="G135" s="171"/>
      <c r="H135" s="171"/>
      <c r="I135" s="171"/>
      <c r="J135" s="171"/>
      <c r="K135" s="171"/>
      <c r="L135" s="171"/>
      <c r="M135" s="171"/>
      <c r="N135" s="170"/>
      <c r="O135" s="170"/>
      <c r="P135" s="170"/>
      <c r="Q135" s="170"/>
      <c r="R135" s="170"/>
      <c r="S135" s="170"/>
      <c r="T135" s="170"/>
      <c r="U135" s="170"/>
      <c r="V135" s="170"/>
      <c r="W135" s="170"/>
    </row>
    <row r="136" spans="1:23">
      <c r="A136" s="171"/>
      <c r="B136" s="171"/>
      <c r="C136" s="171"/>
      <c r="D136" s="171"/>
      <c r="E136" s="171"/>
      <c r="F136" s="171"/>
      <c r="G136" s="171"/>
      <c r="H136" s="171"/>
      <c r="I136" s="171"/>
      <c r="J136" s="171"/>
      <c r="K136" s="171"/>
      <c r="L136" s="171"/>
      <c r="M136" s="171"/>
      <c r="N136" s="170"/>
      <c r="O136" s="170"/>
      <c r="P136" s="170"/>
      <c r="Q136" s="170"/>
      <c r="R136" s="170"/>
      <c r="S136" s="170"/>
      <c r="T136" s="170"/>
      <c r="U136" s="170"/>
      <c r="V136" s="170"/>
      <c r="W136" s="170"/>
    </row>
    <row r="137" spans="1:23">
      <c r="A137" s="171"/>
      <c r="B137" s="171"/>
      <c r="C137" s="171"/>
      <c r="D137" s="171"/>
      <c r="E137" s="171"/>
      <c r="F137" s="171"/>
      <c r="G137" s="171"/>
      <c r="H137" s="171"/>
      <c r="I137" s="171"/>
      <c r="J137" s="171"/>
      <c r="K137" s="171"/>
      <c r="L137" s="171"/>
      <c r="M137" s="171"/>
      <c r="N137" s="170"/>
      <c r="O137" s="170"/>
      <c r="P137" s="170"/>
      <c r="Q137" s="170"/>
      <c r="R137" s="170"/>
      <c r="S137" s="170"/>
      <c r="T137" s="170"/>
      <c r="U137" s="170"/>
      <c r="V137" s="170"/>
      <c r="W137" s="170"/>
    </row>
    <row r="138" spans="1:23">
      <c r="A138" s="171"/>
      <c r="B138" s="171"/>
      <c r="C138" s="171"/>
      <c r="D138" s="171"/>
      <c r="E138" s="171"/>
      <c r="F138" s="171"/>
      <c r="G138" s="171"/>
      <c r="H138" s="171"/>
      <c r="I138" s="171"/>
      <c r="J138" s="171"/>
      <c r="K138" s="171"/>
      <c r="L138" s="171"/>
      <c r="M138" s="171"/>
      <c r="N138" s="170"/>
      <c r="O138" s="170"/>
      <c r="P138" s="170"/>
      <c r="Q138" s="170"/>
      <c r="R138" s="170"/>
      <c r="S138" s="170"/>
      <c r="T138" s="170"/>
      <c r="U138" s="170"/>
      <c r="V138" s="170"/>
      <c r="W138" s="170"/>
    </row>
    <row r="139" spans="1:23">
      <c r="A139" s="171"/>
      <c r="B139" s="171"/>
      <c r="C139" s="171"/>
      <c r="D139" s="171"/>
      <c r="E139" s="171"/>
      <c r="F139" s="171"/>
      <c r="G139" s="171"/>
      <c r="H139" s="171"/>
      <c r="I139" s="171"/>
      <c r="J139" s="171"/>
      <c r="K139" s="171"/>
      <c r="L139" s="171"/>
      <c r="M139" s="171"/>
      <c r="N139" s="170"/>
      <c r="O139" s="170"/>
      <c r="P139" s="170"/>
      <c r="Q139" s="170"/>
      <c r="R139" s="170"/>
      <c r="S139" s="170"/>
      <c r="T139" s="170"/>
      <c r="U139" s="170"/>
      <c r="V139" s="170"/>
      <c r="W139" s="170"/>
    </row>
    <row r="140" spans="1:23">
      <c r="A140" s="171"/>
      <c r="B140" s="171"/>
      <c r="C140" s="171"/>
      <c r="D140" s="171"/>
      <c r="E140" s="171"/>
      <c r="F140" s="171"/>
      <c r="G140" s="171"/>
      <c r="H140" s="171"/>
      <c r="I140" s="171"/>
      <c r="J140" s="171"/>
      <c r="K140" s="171"/>
      <c r="L140" s="171"/>
      <c r="M140" s="171"/>
      <c r="N140" s="170"/>
      <c r="O140" s="170"/>
      <c r="P140" s="170"/>
      <c r="Q140" s="170"/>
      <c r="R140" s="170"/>
      <c r="S140" s="170"/>
      <c r="T140" s="170"/>
      <c r="U140" s="170"/>
      <c r="V140" s="170"/>
      <c r="W140" s="170"/>
    </row>
    <row r="141" spans="1:23">
      <c r="A141" s="171"/>
      <c r="B141" s="171"/>
      <c r="C141" s="171"/>
      <c r="D141" s="171"/>
      <c r="E141" s="171"/>
      <c r="F141" s="171"/>
      <c r="G141" s="171"/>
      <c r="H141" s="171"/>
      <c r="I141" s="171"/>
      <c r="J141" s="171"/>
      <c r="K141" s="171"/>
      <c r="L141" s="171"/>
      <c r="M141" s="171"/>
      <c r="N141" s="170"/>
      <c r="O141" s="170"/>
      <c r="P141" s="170"/>
      <c r="Q141" s="170"/>
      <c r="R141" s="170"/>
      <c r="S141" s="170"/>
      <c r="T141" s="170"/>
      <c r="U141" s="170"/>
      <c r="V141" s="170"/>
      <c r="W141" s="170"/>
    </row>
    <row r="142" spans="1:23">
      <c r="A142" s="171"/>
      <c r="B142" s="171"/>
      <c r="C142" s="171"/>
      <c r="D142" s="171"/>
      <c r="E142" s="171"/>
      <c r="F142" s="171"/>
      <c r="G142" s="171"/>
      <c r="H142" s="171"/>
      <c r="I142" s="171"/>
      <c r="J142" s="171"/>
      <c r="K142" s="171"/>
      <c r="L142" s="171"/>
      <c r="M142" s="171"/>
      <c r="N142" s="170"/>
      <c r="O142" s="170"/>
      <c r="P142" s="170"/>
      <c r="Q142" s="170"/>
      <c r="R142" s="170"/>
      <c r="S142" s="170"/>
      <c r="T142" s="170"/>
      <c r="U142" s="170"/>
      <c r="V142" s="170"/>
      <c r="W142" s="170"/>
    </row>
    <row r="143" spans="1:23">
      <c r="A143" s="171"/>
      <c r="B143" s="171"/>
      <c r="C143" s="171"/>
      <c r="D143" s="171"/>
      <c r="E143" s="171"/>
      <c r="F143" s="171"/>
      <c r="G143" s="171"/>
      <c r="H143" s="171"/>
      <c r="I143" s="171"/>
      <c r="J143" s="171"/>
      <c r="K143" s="171"/>
      <c r="L143" s="171"/>
      <c r="M143" s="171"/>
      <c r="N143" s="170"/>
      <c r="O143" s="170"/>
      <c r="P143" s="170"/>
      <c r="Q143" s="170"/>
      <c r="R143" s="170"/>
      <c r="S143" s="170"/>
      <c r="T143" s="170"/>
      <c r="U143" s="170"/>
      <c r="V143" s="170"/>
      <c r="W143" s="170"/>
    </row>
    <row r="144" spans="1:23">
      <c r="A144" s="171"/>
      <c r="B144" s="171"/>
      <c r="C144" s="171"/>
      <c r="D144" s="171"/>
      <c r="E144" s="171"/>
      <c r="F144" s="171"/>
      <c r="G144" s="171"/>
      <c r="H144" s="171"/>
      <c r="I144" s="171"/>
      <c r="J144" s="171"/>
      <c r="K144" s="171"/>
      <c r="L144" s="171"/>
      <c r="M144" s="171"/>
      <c r="N144" s="170"/>
      <c r="O144" s="170"/>
      <c r="P144" s="170"/>
      <c r="Q144" s="170"/>
      <c r="R144" s="170"/>
      <c r="S144" s="170"/>
      <c r="T144" s="170"/>
      <c r="U144" s="170"/>
      <c r="V144" s="170"/>
      <c r="W144" s="170"/>
    </row>
    <row r="145" spans="1:23">
      <c r="A145" s="171"/>
      <c r="B145" s="171"/>
      <c r="C145" s="171"/>
      <c r="D145" s="171"/>
      <c r="E145" s="171"/>
      <c r="F145" s="171"/>
      <c r="G145" s="171"/>
      <c r="H145" s="171"/>
      <c r="I145" s="171"/>
      <c r="J145" s="171"/>
      <c r="K145" s="171"/>
      <c r="L145" s="171"/>
      <c r="M145" s="171"/>
      <c r="N145" s="170"/>
      <c r="O145" s="170"/>
      <c r="P145" s="170"/>
      <c r="Q145" s="170"/>
      <c r="R145" s="170"/>
      <c r="S145" s="170"/>
      <c r="T145" s="170"/>
      <c r="U145" s="170"/>
      <c r="V145" s="170"/>
      <c r="W145" s="170"/>
    </row>
    <row r="146" spans="1:23">
      <c r="A146" s="171"/>
      <c r="B146" s="171"/>
      <c r="C146" s="171"/>
      <c r="D146" s="171"/>
      <c r="E146" s="171"/>
      <c r="F146" s="171"/>
      <c r="G146" s="171"/>
      <c r="H146" s="171"/>
      <c r="I146" s="171"/>
      <c r="J146" s="171"/>
      <c r="K146" s="171"/>
      <c r="L146" s="171"/>
      <c r="M146" s="171"/>
      <c r="N146" s="170"/>
      <c r="O146" s="170"/>
      <c r="P146" s="170"/>
      <c r="Q146" s="170"/>
      <c r="R146" s="170"/>
      <c r="S146" s="170"/>
      <c r="T146" s="170"/>
      <c r="U146" s="170"/>
      <c r="V146" s="170"/>
      <c r="W146" s="170"/>
    </row>
    <row r="147" spans="1:23">
      <c r="A147" s="171"/>
      <c r="B147" s="171"/>
      <c r="C147" s="171"/>
      <c r="D147" s="171"/>
      <c r="E147" s="171"/>
      <c r="F147" s="171"/>
      <c r="G147" s="171"/>
      <c r="H147" s="171"/>
      <c r="I147" s="171"/>
      <c r="J147" s="171"/>
      <c r="K147" s="171"/>
      <c r="L147" s="171"/>
      <c r="M147" s="171"/>
      <c r="N147" s="170"/>
      <c r="O147" s="170"/>
      <c r="P147" s="170"/>
      <c r="Q147" s="170"/>
      <c r="R147" s="170"/>
      <c r="S147" s="170"/>
      <c r="T147" s="170"/>
      <c r="U147" s="170"/>
      <c r="V147" s="170"/>
      <c r="W147" s="170"/>
    </row>
    <row r="148" spans="1:23">
      <c r="A148" s="171"/>
      <c r="B148" s="171"/>
      <c r="C148" s="171"/>
      <c r="D148" s="171"/>
      <c r="E148" s="171"/>
      <c r="F148" s="171"/>
      <c r="G148" s="171"/>
      <c r="H148" s="171"/>
      <c r="I148" s="171"/>
      <c r="J148" s="171"/>
      <c r="K148" s="171"/>
      <c r="L148" s="171"/>
      <c r="M148" s="171"/>
      <c r="N148" s="170"/>
      <c r="O148" s="170"/>
      <c r="P148" s="170"/>
      <c r="Q148" s="170"/>
      <c r="R148" s="170"/>
      <c r="S148" s="170"/>
      <c r="T148" s="170"/>
      <c r="U148" s="170"/>
      <c r="V148" s="170"/>
      <c r="W148" s="170"/>
    </row>
    <row r="149" spans="1:23">
      <c r="A149" s="171"/>
      <c r="B149" s="171"/>
      <c r="C149" s="171"/>
      <c r="D149" s="171"/>
      <c r="E149" s="171"/>
      <c r="F149" s="171"/>
      <c r="G149" s="171"/>
      <c r="H149" s="171"/>
      <c r="I149" s="171"/>
      <c r="J149" s="171"/>
      <c r="K149" s="171"/>
      <c r="L149" s="171"/>
      <c r="M149" s="171"/>
      <c r="N149" s="170"/>
      <c r="O149" s="170"/>
      <c r="P149" s="170"/>
      <c r="Q149" s="170"/>
      <c r="R149" s="170"/>
      <c r="S149" s="170"/>
      <c r="T149" s="170"/>
      <c r="U149" s="170"/>
      <c r="V149" s="170"/>
      <c r="W149" s="170"/>
    </row>
    <row r="150" spans="1:23">
      <c r="A150" s="171"/>
      <c r="B150" s="171"/>
      <c r="C150" s="171"/>
      <c r="D150" s="171"/>
      <c r="E150" s="171"/>
      <c r="F150" s="171"/>
      <c r="G150" s="171"/>
      <c r="H150" s="171"/>
      <c r="I150" s="171"/>
      <c r="J150" s="171"/>
      <c r="K150" s="171"/>
      <c r="L150" s="171"/>
      <c r="M150" s="171"/>
      <c r="N150" s="170"/>
      <c r="O150" s="170"/>
      <c r="P150" s="170"/>
      <c r="Q150" s="170"/>
      <c r="R150" s="170"/>
      <c r="S150" s="170"/>
      <c r="T150" s="170"/>
      <c r="U150" s="170"/>
      <c r="V150" s="170"/>
      <c r="W150" s="170"/>
    </row>
    <row r="151" spans="1:23">
      <c r="A151" s="171"/>
      <c r="B151" s="171"/>
      <c r="C151" s="171"/>
      <c r="D151" s="171"/>
      <c r="E151" s="171"/>
      <c r="F151" s="171"/>
      <c r="G151" s="171"/>
      <c r="H151" s="171"/>
      <c r="I151" s="171"/>
      <c r="J151" s="171"/>
      <c r="K151" s="171"/>
      <c r="L151" s="171"/>
      <c r="M151" s="171"/>
      <c r="N151" s="170"/>
      <c r="O151" s="170"/>
      <c r="P151" s="170"/>
      <c r="Q151" s="170"/>
      <c r="R151" s="170"/>
      <c r="S151" s="170"/>
      <c r="T151" s="170"/>
      <c r="U151" s="170"/>
      <c r="V151" s="170"/>
      <c r="W151" s="170"/>
    </row>
    <row r="152" spans="1:23">
      <c r="A152" s="171"/>
      <c r="B152" s="171"/>
      <c r="C152" s="171"/>
      <c r="D152" s="171"/>
      <c r="E152" s="171"/>
      <c r="F152" s="171"/>
      <c r="G152" s="171"/>
      <c r="H152" s="171"/>
      <c r="I152" s="171"/>
      <c r="J152" s="171"/>
      <c r="K152" s="171"/>
      <c r="L152" s="171"/>
      <c r="M152" s="171"/>
      <c r="N152" s="170"/>
      <c r="O152" s="170"/>
      <c r="P152" s="170"/>
      <c r="Q152" s="170"/>
      <c r="R152" s="170"/>
      <c r="S152" s="170"/>
      <c r="T152" s="170"/>
      <c r="U152" s="170"/>
      <c r="V152" s="170"/>
      <c r="W152" s="170"/>
    </row>
    <row r="153" spans="1:23">
      <c r="A153" s="171"/>
      <c r="B153" s="171"/>
      <c r="C153" s="171"/>
      <c r="D153" s="171"/>
      <c r="E153" s="171"/>
      <c r="F153" s="171"/>
      <c r="G153" s="171"/>
      <c r="H153" s="171"/>
      <c r="I153" s="171"/>
      <c r="J153" s="171"/>
      <c r="K153" s="171"/>
      <c r="L153" s="171"/>
      <c r="M153" s="171"/>
      <c r="N153" s="170"/>
      <c r="O153" s="170"/>
      <c r="P153" s="170"/>
      <c r="Q153" s="170"/>
      <c r="R153" s="170"/>
      <c r="S153" s="170"/>
      <c r="T153" s="170"/>
      <c r="U153" s="170"/>
      <c r="V153" s="170"/>
      <c r="W153" s="170"/>
    </row>
    <row r="154" spans="1:23">
      <c r="A154" s="171"/>
      <c r="B154" s="171"/>
      <c r="C154" s="171"/>
      <c r="D154" s="171"/>
      <c r="E154" s="171"/>
      <c r="F154" s="171"/>
      <c r="G154" s="171"/>
      <c r="H154" s="171"/>
      <c r="I154" s="171"/>
      <c r="J154" s="171"/>
      <c r="K154" s="171"/>
      <c r="L154" s="171"/>
      <c r="M154" s="171"/>
      <c r="N154" s="170"/>
      <c r="O154" s="170"/>
      <c r="P154" s="170"/>
      <c r="Q154" s="170"/>
      <c r="R154" s="170"/>
      <c r="S154" s="170"/>
      <c r="T154" s="170"/>
      <c r="U154" s="170"/>
      <c r="V154" s="170"/>
      <c r="W154" s="170"/>
    </row>
    <row r="155" spans="1:23">
      <c r="A155" s="171"/>
      <c r="B155" s="171"/>
      <c r="C155" s="171"/>
      <c r="D155" s="171"/>
      <c r="E155" s="171"/>
      <c r="F155" s="171"/>
      <c r="G155" s="171"/>
      <c r="H155" s="171"/>
      <c r="I155" s="171"/>
      <c r="J155" s="171"/>
      <c r="K155" s="171"/>
      <c r="L155" s="171"/>
      <c r="M155" s="171"/>
      <c r="N155" s="170"/>
      <c r="O155" s="170"/>
      <c r="P155" s="170"/>
      <c r="Q155" s="170"/>
      <c r="R155" s="170"/>
      <c r="S155" s="170"/>
      <c r="T155" s="170"/>
      <c r="U155" s="170"/>
      <c r="V155" s="170"/>
      <c r="W155" s="170"/>
    </row>
    <row r="156" spans="1:23">
      <c r="A156" s="171"/>
      <c r="B156" s="171"/>
      <c r="C156" s="171"/>
      <c r="D156" s="171"/>
      <c r="E156" s="171"/>
      <c r="F156" s="171"/>
      <c r="G156" s="171"/>
      <c r="H156" s="171"/>
      <c r="I156" s="171"/>
      <c r="J156" s="171"/>
      <c r="K156" s="171"/>
      <c r="L156" s="171"/>
      <c r="M156" s="171"/>
      <c r="N156" s="170"/>
      <c r="O156" s="170"/>
      <c r="P156" s="170"/>
      <c r="Q156" s="170"/>
      <c r="R156" s="170"/>
      <c r="S156" s="170"/>
      <c r="T156" s="170"/>
      <c r="U156" s="170"/>
      <c r="V156" s="170"/>
      <c r="W156" s="170"/>
    </row>
    <row r="157" spans="1:23">
      <c r="A157" s="171"/>
      <c r="B157" s="171"/>
      <c r="C157" s="171"/>
      <c r="D157" s="171"/>
      <c r="E157" s="171"/>
      <c r="F157" s="171"/>
      <c r="G157" s="171"/>
      <c r="H157" s="171"/>
      <c r="I157" s="171"/>
      <c r="J157" s="171"/>
      <c r="K157" s="171"/>
      <c r="L157" s="171"/>
      <c r="M157" s="171"/>
      <c r="N157" s="170"/>
      <c r="O157" s="170"/>
      <c r="P157" s="170"/>
      <c r="Q157" s="170"/>
      <c r="R157" s="170"/>
      <c r="S157" s="170"/>
      <c r="T157" s="170"/>
      <c r="U157" s="170"/>
      <c r="V157" s="170"/>
      <c r="W157" s="170"/>
    </row>
    <row r="158" spans="1:23">
      <c r="A158" s="171"/>
      <c r="B158" s="171"/>
      <c r="C158" s="171"/>
      <c r="D158" s="171"/>
      <c r="E158" s="171"/>
      <c r="F158" s="171"/>
      <c r="G158" s="171"/>
      <c r="H158" s="171"/>
      <c r="I158" s="171"/>
      <c r="J158" s="171"/>
      <c r="K158" s="171"/>
      <c r="L158" s="171"/>
      <c r="M158" s="171"/>
      <c r="N158" s="170"/>
      <c r="O158" s="170"/>
      <c r="P158" s="170"/>
      <c r="Q158" s="170"/>
      <c r="R158" s="170"/>
      <c r="S158" s="170"/>
      <c r="T158" s="170"/>
      <c r="U158" s="170"/>
      <c r="V158" s="170"/>
      <c r="W158" s="170"/>
    </row>
    <row r="159" spans="1:23">
      <c r="A159" s="171"/>
      <c r="B159" s="171"/>
      <c r="C159" s="171"/>
      <c r="D159" s="171"/>
      <c r="E159" s="171"/>
      <c r="F159" s="171"/>
      <c r="G159" s="171"/>
      <c r="H159" s="171"/>
      <c r="I159" s="171"/>
      <c r="J159" s="171"/>
      <c r="K159" s="171"/>
      <c r="L159" s="171"/>
      <c r="M159" s="171"/>
      <c r="N159" s="170"/>
      <c r="O159" s="170"/>
      <c r="P159" s="170"/>
      <c r="Q159" s="170"/>
      <c r="R159" s="170"/>
      <c r="S159" s="170"/>
      <c r="T159" s="170"/>
      <c r="U159" s="170"/>
      <c r="V159" s="170"/>
      <c r="W159" s="170"/>
    </row>
    <row r="160" spans="1:23">
      <c r="A160" s="171"/>
      <c r="B160" s="171"/>
      <c r="C160" s="171"/>
      <c r="D160" s="171"/>
      <c r="E160" s="171"/>
      <c r="F160" s="171"/>
      <c r="G160" s="171"/>
      <c r="H160" s="171"/>
      <c r="I160" s="171"/>
      <c r="J160" s="171"/>
      <c r="K160" s="171"/>
      <c r="L160" s="171"/>
      <c r="M160" s="171"/>
      <c r="N160" s="170"/>
      <c r="O160" s="170"/>
      <c r="P160" s="170"/>
      <c r="Q160" s="170"/>
      <c r="R160" s="170"/>
      <c r="S160" s="170"/>
      <c r="T160" s="170"/>
      <c r="U160" s="170"/>
      <c r="V160" s="170"/>
      <c r="W160" s="170"/>
    </row>
    <row r="161" spans="1:23">
      <c r="A161" s="171"/>
      <c r="B161" s="171"/>
      <c r="C161" s="171"/>
      <c r="D161" s="171"/>
      <c r="E161" s="171"/>
      <c r="F161" s="171"/>
      <c r="G161" s="171"/>
      <c r="H161" s="171"/>
      <c r="I161" s="171"/>
      <c r="J161" s="171"/>
      <c r="K161" s="171"/>
      <c r="L161" s="171"/>
      <c r="M161" s="171"/>
      <c r="N161" s="170"/>
      <c r="O161" s="170"/>
      <c r="P161" s="170"/>
      <c r="Q161" s="170"/>
      <c r="R161" s="170"/>
      <c r="S161" s="170"/>
      <c r="T161" s="170"/>
      <c r="U161" s="170"/>
      <c r="V161" s="170"/>
      <c r="W161" s="170"/>
    </row>
    <row r="162" spans="1:23">
      <c r="A162" s="171"/>
      <c r="B162" s="171"/>
      <c r="C162" s="171"/>
      <c r="D162" s="171"/>
      <c r="E162" s="171"/>
      <c r="F162" s="171"/>
      <c r="G162" s="171"/>
      <c r="H162" s="171"/>
      <c r="I162" s="171"/>
      <c r="J162" s="171"/>
      <c r="K162" s="171"/>
      <c r="L162" s="171"/>
      <c r="M162" s="171"/>
      <c r="N162" s="170"/>
      <c r="O162" s="170"/>
      <c r="P162" s="170"/>
      <c r="Q162" s="170"/>
      <c r="R162" s="170"/>
      <c r="S162" s="170"/>
      <c r="T162" s="170"/>
      <c r="U162" s="170"/>
      <c r="V162" s="170"/>
      <c r="W162" s="170"/>
    </row>
    <row r="163" spans="1:23">
      <c r="A163" s="171"/>
      <c r="B163" s="171"/>
      <c r="C163" s="171"/>
      <c r="D163" s="171"/>
      <c r="E163" s="171"/>
      <c r="F163" s="171"/>
      <c r="G163" s="171"/>
      <c r="H163" s="171"/>
      <c r="I163" s="171"/>
      <c r="J163" s="171"/>
      <c r="K163" s="171"/>
      <c r="L163" s="171"/>
      <c r="M163" s="171"/>
      <c r="N163" s="170"/>
      <c r="O163" s="170"/>
      <c r="P163" s="170"/>
      <c r="Q163" s="170"/>
      <c r="R163" s="170"/>
      <c r="S163" s="170"/>
      <c r="T163" s="170"/>
      <c r="U163" s="170"/>
      <c r="V163" s="170"/>
      <c r="W163" s="170"/>
    </row>
    <row r="164" spans="1:23">
      <c r="A164" s="171"/>
      <c r="B164" s="171"/>
      <c r="C164" s="171"/>
      <c r="D164" s="171"/>
      <c r="E164" s="171"/>
      <c r="F164" s="171"/>
      <c r="G164" s="171"/>
      <c r="H164" s="171"/>
      <c r="I164" s="171"/>
      <c r="J164" s="171"/>
      <c r="K164" s="171"/>
      <c r="L164" s="171"/>
      <c r="M164" s="171"/>
      <c r="N164" s="170"/>
      <c r="O164" s="170"/>
      <c r="P164" s="170"/>
      <c r="Q164" s="170"/>
      <c r="R164" s="170"/>
      <c r="S164" s="170"/>
      <c r="T164" s="170"/>
      <c r="U164" s="170"/>
      <c r="V164" s="170"/>
      <c r="W164" s="170"/>
    </row>
    <row r="165" spans="1:23">
      <c r="A165" s="171"/>
      <c r="B165" s="171"/>
      <c r="C165" s="171"/>
      <c r="D165" s="171"/>
      <c r="E165" s="171"/>
      <c r="F165" s="171"/>
      <c r="G165" s="171"/>
      <c r="H165" s="171"/>
      <c r="I165" s="171"/>
      <c r="J165" s="171"/>
      <c r="K165" s="171"/>
      <c r="L165" s="171"/>
      <c r="M165" s="171"/>
      <c r="N165" s="170"/>
      <c r="O165" s="170"/>
      <c r="P165" s="170"/>
      <c r="Q165" s="170"/>
      <c r="R165" s="170"/>
      <c r="S165" s="170"/>
      <c r="T165" s="170"/>
      <c r="U165" s="170"/>
      <c r="V165" s="170"/>
      <c r="W165" s="170"/>
    </row>
    <row r="166" spans="1:23">
      <c r="A166" s="171"/>
      <c r="B166" s="171"/>
      <c r="C166" s="171"/>
      <c r="D166" s="171"/>
      <c r="E166" s="171"/>
      <c r="F166" s="171"/>
      <c r="G166" s="171"/>
      <c r="H166" s="171"/>
      <c r="I166" s="171"/>
      <c r="J166" s="171"/>
      <c r="K166" s="171"/>
      <c r="L166" s="171"/>
      <c r="M166" s="171"/>
      <c r="N166" s="170"/>
      <c r="O166" s="170"/>
      <c r="P166" s="170"/>
      <c r="Q166" s="170"/>
      <c r="R166" s="170"/>
      <c r="S166" s="170"/>
      <c r="T166" s="170"/>
      <c r="U166" s="170"/>
      <c r="V166" s="170"/>
      <c r="W166" s="170"/>
    </row>
    <row r="167" spans="1:23">
      <c r="A167" s="171"/>
      <c r="B167" s="171"/>
      <c r="C167" s="171"/>
      <c r="D167" s="171"/>
      <c r="E167" s="171"/>
      <c r="F167" s="171"/>
      <c r="G167" s="171"/>
      <c r="H167" s="171"/>
      <c r="I167" s="171"/>
      <c r="J167" s="171"/>
      <c r="K167" s="171"/>
      <c r="L167" s="171"/>
      <c r="M167" s="171"/>
      <c r="N167" s="170"/>
      <c r="O167" s="170"/>
      <c r="P167" s="170"/>
      <c r="Q167" s="170"/>
      <c r="R167" s="170"/>
      <c r="S167" s="170"/>
      <c r="T167" s="170"/>
      <c r="U167" s="170"/>
      <c r="V167" s="170"/>
      <c r="W167" s="170"/>
    </row>
    <row r="168" spans="1:23">
      <c r="A168" s="171"/>
      <c r="B168" s="171"/>
      <c r="C168" s="171"/>
      <c r="D168" s="171"/>
      <c r="E168" s="171"/>
      <c r="F168" s="171"/>
      <c r="G168" s="171"/>
      <c r="H168" s="171"/>
      <c r="I168" s="171"/>
      <c r="J168" s="171"/>
      <c r="K168" s="171"/>
      <c r="L168" s="171"/>
      <c r="M168" s="171"/>
      <c r="N168" s="170"/>
      <c r="O168" s="170"/>
      <c r="P168" s="170"/>
      <c r="Q168" s="170"/>
      <c r="R168" s="170"/>
      <c r="S168" s="170"/>
      <c r="T168" s="170"/>
      <c r="U168" s="170"/>
      <c r="V168" s="170"/>
      <c r="W168" s="170"/>
    </row>
    <row r="169" spans="1:23">
      <c r="A169" s="171"/>
      <c r="B169" s="171"/>
      <c r="C169" s="171"/>
      <c r="D169" s="171"/>
      <c r="E169" s="171"/>
      <c r="F169" s="171"/>
      <c r="G169" s="171"/>
      <c r="H169" s="171"/>
      <c r="I169" s="171"/>
      <c r="J169" s="171"/>
      <c r="K169" s="171"/>
      <c r="L169" s="171"/>
      <c r="M169" s="171"/>
      <c r="N169" s="170"/>
      <c r="O169" s="170"/>
      <c r="P169" s="170"/>
      <c r="Q169" s="170"/>
      <c r="R169" s="170"/>
      <c r="S169" s="170"/>
      <c r="T169" s="170"/>
      <c r="U169" s="170"/>
      <c r="V169" s="170"/>
      <c r="W169" s="170"/>
    </row>
    <row r="170" spans="1:23">
      <c r="A170" s="171"/>
      <c r="B170" s="171"/>
      <c r="C170" s="171"/>
      <c r="D170" s="171"/>
      <c r="E170" s="171"/>
      <c r="F170" s="171"/>
      <c r="G170" s="171"/>
      <c r="H170" s="171"/>
      <c r="I170" s="171"/>
      <c r="J170" s="171"/>
      <c r="K170" s="171"/>
      <c r="L170" s="171"/>
      <c r="M170" s="171"/>
      <c r="N170" s="170"/>
      <c r="O170" s="170"/>
      <c r="P170" s="170"/>
      <c r="Q170" s="170"/>
      <c r="R170" s="170"/>
      <c r="S170" s="170"/>
      <c r="T170" s="170"/>
      <c r="U170" s="170"/>
      <c r="V170" s="170"/>
      <c r="W170" s="170"/>
    </row>
    <row r="171" spans="1:23">
      <c r="A171" s="171"/>
      <c r="B171" s="171"/>
      <c r="C171" s="171"/>
      <c r="D171" s="171"/>
      <c r="E171" s="171"/>
      <c r="F171" s="171"/>
      <c r="G171" s="171"/>
      <c r="H171" s="171"/>
      <c r="I171" s="171"/>
      <c r="J171" s="171"/>
      <c r="K171" s="171"/>
      <c r="L171" s="171"/>
      <c r="M171" s="171"/>
      <c r="N171" s="170"/>
      <c r="O171" s="170"/>
      <c r="P171" s="170"/>
      <c r="Q171" s="170"/>
      <c r="R171" s="170"/>
      <c r="S171" s="170"/>
      <c r="T171" s="170"/>
      <c r="U171" s="170"/>
      <c r="V171" s="170"/>
      <c r="W171" s="170"/>
    </row>
    <row r="172" spans="1:23">
      <c r="A172" s="171"/>
      <c r="B172" s="171"/>
      <c r="C172" s="171"/>
      <c r="D172" s="171"/>
      <c r="E172" s="171"/>
      <c r="F172" s="171"/>
      <c r="G172" s="171"/>
      <c r="H172" s="171"/>
      <c r="I172" s="171"/>
      <c r="J172" s="171"/>
      <c r="K172" s="171"/>
      <c r="L172" s="171"/>
      <c r="M172" s="171"/>
      <c r="N172" s="170"/>
      <c r="O172" s="170"/>
      <c r="P172" s="170"/>
      <c r="Q172" s="170"/>
      <c r="R172" s="170"/>
      <c r="S172" s="170"/>
      <c r="T172" s="170"/>
      <c r="U172" s="170"/>
      <c r="V172" s="170"/>
      <c r="W172" s="170"/>
    </row>
    <row r="173" spans="1:23">
      <c r="A173" s="171"/>
      <c r="B173" s="171"/>
      <c r="C173" s="171"/>
      <c r="D173" s="171"/>
      <c r="E173" s="171"/>
      <c r="F173" s="171"/>
      <c r="G173" s="171"/>
      <c r="H173" s="171"/>
      <c r="I173" s="171"/>
      <c r="J173" s="171"/>
      <c r="K173" s="171"/>
      <c r="L173" s="171"/>
      <c r="M173" s="171"/>
      <c r="N173" s="170"/>
      <c r="O173" s="170"/>
      <c r="P173" s="170"/>
      <c r="Q173" s="170"/>
      <c r="R173" s="170"/>
      <c r="S173" s="170"/>
      <c r="T173" s="170"/>
      <c r="U173" s="170"/>
      <c r="V173" s="170"/>
      <c r="W173" s="170"/>
    </row>
    <row r="174" spans="1:23">
      <c r="A174" s="171"/>
      <c r="B174" s="171"/>
      <c r="C174" s="171"/>
      <c r="D174" s="171"/>
      <c r="E174" s="171"/>
      <c r="F174" s="171"/>
      <c r="G174" s="171"/>
      <c r="H174" s="171"/>
      <c r="I174" s="171"/>
      <c r="J174" s="171"/>
      <c r="K174" s="171"/>
      <c r="L174" s="171"/>
      <c r="M174" s="171"/>
      <c r="N174" s="170"/>
      <c r="O174" s="170"/>
      <c r="P174" s="170"/>
      <c r="Q174" s="170"/>
      <c r="R174" s="170"/>
      <c r="S174" s="170"/>
      <c r="T174" s="170"/>
      <c r="U174" s="170"/>
      <c r="V174" s="170"/>
      <c r="W174" s="170"/>
    </row>
    <row r="175" spans="1:23">
      <c r="A175" s="171"/>
      <c r="B175" s="171"/>
      <c r="C175" s="171"/>
      <c r="D175" s="171"/>
      <c r="E175" s="171"/>
      <c r="F175" s="171"/>
      <c r="G175" s="171"/>
      <c r="H175" s="171"/>
      <c r="I175" s="171"/>
      <c r="J175" s="171"/>
      <c r="K175" s="171"/>
      <c r="L175" s="171"/>
      <c r="M175" s="171"/>
      <c r="N175" s="170"/>
      <c r="O175" s="170"/>
      <c r="P175" s="170"/>
      <c r="Q175" s="170"/>
      <c r="R175" s="170"/>
      <c r="S175" s="170"/>
      <c r="T175" s="170"/>
      <c r="U175" s="170"/>
      <c r="V175" s="170"/>
      <c r="W175" s="170"/>
    </row>
    <row r="176" spans="1:23">
      <c r="A176" s="171"/>
      <c r="B176" s="171"/>
      <c r="C176" s="171"/>
      <c r="D176" s="171"/>
      <c r="E176" s="171"/>
      <c r="F176" s="171"/>
      <c r="G176" s="171"/>
      <c r="H176" s="171"/>
      <c r="I176" s="171"/>
      <c r="J176" s="171"/>
      <c r="K176" s="171"/>
      <c r="L176" s="171"/>
      <c r="M176" s="171"/>
      <c r="N176" s="170"/>
      <c r="O176" s="170"/>
      <c r="P176" s="170"/>
      <c r="Q176" s="170"/>
      <c r="R176" s="170"/>
      <c r="S176" s="170"/>
      <c r="T176" s="170"/>
      <c r="U176" s="170"/>
      <c r="V176" s="170"/>
      <c r="W176" s="170"/>
    </row>
    <row r="177" spans="1:23">
      <c r="A177" s="171"/>
      <c r="B177" s="171"/>
      <c r="C177" s="171"/>
      <c r="D177" s="171"/>
      <c r="E177" s="171"/>
      <c r="F177" s="171"/>
      <c r="G177" s="171"/>
      <c r="H177" s="171"/>
      <c r="I177" s="171"/>
      <c r="J177" s="171"/>
      <c r="K177" s="171"/>
      <c r="L177" s="171"/>
      <c r="M177" s="171"/>
      <c r="N177" s="170"/>
      <c r="O177" s="170"/>
      <c r="P177" s="170"/>
      <c r="Q177" s="170"/>
      <c r="R177" s="170"/>
      <c r="S177" s="170"/>
      <c r="T177" s="170"/>
      <c r="U177" s="170"/>
      <c r="V177" s="170"/>
      <c r="W177" s="170"/>
    </row>
    <row r="178" spans="1:23">
      <c r="A178" s="171"/>
      <c r="B178" s="171"/>
      <c r="C178" s="171"/>
      <c r="D178" s="171"/>
      <c r="E178" s="171"/>
      <c r="F178" s="171"/>
      <c r="G178" s="171"/>
      <c r="H178" s="171"/>
      <c r="I178" s="171"/>
      <c r="J178" s="171"/>
      <c r="K178" s="171"/>
      <c r="L178" s="171"/>
      <c r="M178" s="171"/>
      <c r="N178" s="170"/>
      <c r="O178" s="170"/>
      <c r="P178" s="170"/>
      <c r="Q178" s="170"/>
      <c r="R178" s="170"/>
      <c r="S178" s="170"/>
      <c r="T178" s="170"/>
      <c r="U178" s="170"/>
      <c r="V178" s="170"/>
      <c r="W178" s="170"/>
    </row>
    <row r="179" spans="1:23">
      <c r="A179" s="171"/>
      <c r="B179" s="171"/>
      <c r="C179" s="171"/>
      <c r="D179" s="171"/>
      <c r="E179" s="171"/>
      <c r="F179" s="171"/>
      <c r="G179" s="171"/>
      <c r="H179" s="171"/>
      <c r="I179" s="171"/>
      <c r="J179" s="171"/>
      <c r="K179" s="171"/>
      <c r="L179" s="171"/>
      <c r="M179" s="171"/>
      <c r="N179" s="170"/>
      <c r="O179" s="170"/>
      <c r="P179" s="170"/>
      <c r="Q179" s="170"/>
      <c r="R179" s="170"/>
      <c r="S179" s="170"/>
      <c r="T179" s="170"/>
      <c r="U179" s="170"/>
      <c r="V179" s="170"/>
      <c r="W179" s="170"/>
    </row>
    <row r="180" spans="1:23">
      <c r="A180" s="171"/>
      <c r="B180" s="171"/>
      <c r="C180" s="171"/>
      <c r="D180" s="171"/>
      <c r="E180" s="171"/>
      <c r="F180" s="171"/>
      <c r="G180" s="171"/>
      <c r="H180" s="171"/>
      <c r="I180" s="171"/>
      <c r="J180" s="171"/>
      <c r="K180" s="171"/>
      <c r="L180" s="171"/>
      <c r="M180" s="171"/>
      <c r="N180" s="170"/>
      <c r="O180" s="170"/>
      <c r="P180" s="170"/>
      <c r="Q180" s="170"/>
      <c r="R180" s="170"/>
      <c r="S180" s="170"/>
      <c r="T180" s="170"/>
      <c r="U180" s="170"/>
      <c r="V180" s="170"/>
      <c r="W180" s="170"/>
    </row>
    <row r="181" spans="1:23">
      <c r="A181" s="171"/>
      <c r="B181" s="171"/>
      <c r="C181" s="171"/>
      <c r="D181" s="171"/>
      <c r="E181" s="171"/>
      <c r="F181" s="171"/>
      <c r="G181" s="171"/>
      <c r="H181" s="171"/>
      <c r="I181" s="171"/>
      <c r="J181" s="171"/>
      <c r="K181" s="171"/>
      <c r="L181" s="171"/>
      <c r="M181" s="171"/>
      <c r="N181" s="170"/>
      <c r="O181" s="170"/>
      <c r="P181" s="170"/>
      <c r="Q181" s="170"/>
      <c r="R181" s="170"/>
      <c r="S181" s="170"/>
      <c r="T181" s="170"/>
      <c r="U181" s="170"/>
      <c r="V181" s="170"/>
      <c r="W181" s="170"/>
    </row>
    <row r="182" spans="1:23">
      <c r="A182" s="171"/>
      <c r="B182" s="171"/>
      <c r="C182" s="171"/>
      <c r="D182" s="171"/>
      <c r="E182" s="171"/>
      <c r="F182" s="171"/>
      <c r="G182" s="171"/>
      <c r="H182" s="171"/>
      <c r="I182" s="171"/>
      <c r="J182" s="171"/>
      <c r="K182" s="171"/>
      <c r="L182" s="171"/>
      <c r="M182" s="171"/>
      <c r="N182" s="170"/>
      <c r="O182" s="170"/>
      <c r="P182" s="170"/>
      <c r="Q182" s="170"/>
      <c r="R182" s="170"/>
      <c r="S182" s="170"/>
      <c r="T182" s="170"/>
      <c r="U182" s="170"/>
      <c r="V182" s="170"/>
      <c r="W182" s="170"/>
    </row>
    <row r="183" spans="1:23">
      <c r="A183" s="171"/>
      <c r="B183" s="171"/>
      <c r="C183" s="171"/>
      <c r="D183" s="171"/>
      <c r="E183" s="171"/>
      <c r="F183" s="171"/>
      <c r="G183" s="171"/>
      <c r="H183" s="171"/>
      <c r="I183" s="171"/>
      <c r="J183" s="171"/>
      <c r="K183" s="171"/>
      <c r="L183" s="171"/>
      <c r="M183" s="171"/>
      <c r="N183" s="170"/>
      <c r="O183" s="170"/>
      <c r="P183" s="170"/>
      <c r="Q183" s="170"/>
      <c r="R183" s="170"/>
      <c r="S183" s="170"/>
      <c r="T183" s="170"/>
      <c r="U183" s="170"/>
      <c r="V183" s="170"/>
      <c r="W183" s="170"/>
    </row>
    <row r="184" spans="1:23">
      <c r="A184" s="171"/>
      <c r="B184" s="171"/>
      <c r="C184" s="171"/>
      <c r="D184" s="171"/>
      <c r="E184" s="171"/>
      <c r="F184" s="171"/>
      <c r="G184" s="171"/>
      <c r="H184" s="171"/>
      <c r="I184" s="171"/>
      <c r="J184" s="171"/>
      <c r="K184" s="171"/>
      <c r="L184" s="171"/>
      <c r="M184" s="171"/>
      <c r="N184" s="170"/>
      <c r="O184" s="170"/>
      <c r="P184" s="170"/>
      <c r="Q184" s="170"/>
      <c r="R184" s="170"/>
      <c r="S184" s="170"/>
      <c r="T184" s="170"/>
      <c r="U184" s="170"/>
      <c r="V184" s="170"/>
      <c r="W184" s="170"/>
    </row>
    <row r="185" spans="1:23">
      <c r="A185" s="171"/>
      <c r="B185" s="171"/>
      <c r="C185" s="171"/>
      <c r="D185" s="171"/>
      <c r="E185" s="171"/>
      <c r="F185" s="171"/>
      <c r="G185" s="171"/>
      <c r="H185" s="171"/>
      <c r="I185" s="171"/>
      <c r="J185" s="171"/>
      <c r="K185" s="171"/>
      <c r="L185" s="171"/>
      <c r="M185" s="171"/>
      <c r="N185" s="170"/>
      <c r="O185" s="170"/>
      <c r="P185" s="170"/>
      <c r="Q185" s="170"/>
      <c r="R185" s="170"/>
      <c r="S185" s="170"/>
      <c r="T185" s="170"/>
      <c r="U185" s="170"/>
      <c r="V185" s="170"/>
      <c r="W185" s="170"/>
    </row>
    <row r="186" spans="1:23">
      <c r="A186" s="171"/>
      <c r="B186" s="171"/>
      <c r="C186" s="171"/>
      <c r="D186" s="171"/>
      <c r="E186" s="171"/>
      <c r="F186" s="171"/>
      <c r="G186" s="171"/>
      <c r="H186" s="171"/>
      <c r="I186" s="171"/>
      <c r="J186" s="171"/>
      <c r="K186" s="171"/>
      <c r="L186" s="171"/>
      <c r="M186" s="171"/>
      <c r="N186" s="170"/>
      <c r="O186" s="170"/>
      <c r="P186" s="170"/>
      <c r="Q186" s="170"/>
      <c r="R186" s="170"/>
      <c r="S186" s="170"/>
      <c r="T186" s="170"/>
      <c r="U186" s="170"/>
      <c r="V186" s="170"/>
      <c r="W186" s="170"/>
    </row>
    <row r="187" spans="1:23">
      <c r="A187" s="171"/>
      <c r="B187" s="171"/>
      <c r="C187" s="171"/>
      <c r="D187" s="171"/>
      <c r="E187" s="171"/>
      <c r="F187" s="171"/>
      <c r="G187" s="171"/>
      <c r="H187" s="171"/>
      <c r="I187" s="171"/>
      <c r="J187" s="171"/>
      <c r="K187" s="171"/>
      <c r="L187" s="171"/>
      <c r="M187" s="171"/>
      <c r="N187" s="170"/>
      <c r="O187" s="170"/>
      <c r="P187" s="170"/>
      <c r="Q187" s="170"/>
      <c r="R187" s="170"/>
      <c r="S187" s="170"/>
      <c r="T187" s="170"/>
      <c r="U187" s="170"/>
      <c r="V187" s="170"/>
      <c r="W187" s="170"/>
    </row>
    <row r="188" spans="1:23">
      <c r="A188" s="171"/>
      <c r="B188" s="171"/>
      <c r="C188" s="171"/>
      <c r="D188" s="171"/>
      <c r="E188" s="171"/>
      <c r="F188" s="171"/>
      <c r="G188" s="171"/>
      <c r="H188" s="171"/>
      <c r="I188" s="171"/>
      <c r="J188" s="171"/>
      <c r="K188" s="171"/>
      <c r="L188" s="171"/>
      <c r="M188" s="171"/>
      <c r="N188" s="170"/>
      <c r="O188" s="170"/>
      <c r="P188" s="170"/>
      <c r="Q188" s="170"/>
      <c r="R188" s="170"/>
      <c r="S188" s="170"/>
      <c r="T188" s="170"/>
      <c r="U188" s="170"/>
      <c r="V188" s="170"/>
      <c r="W188" s="170"/>
    </row>
    <row r="189" spans="1:23">
      <c r="A189" s="171"/>
      <c r="B189" s="171"/>
      <c r="C189" s="171"/>
      <c r="D189" s="171"/>
      <c r="E189" s="171"/>
      <c r="F189" s="171"/>
      <c r="G189" s="171"/>
      <c r="H189" s="171"/>
      <c r="I189" s="171"/>
      <c r="J189" s="171"/>
      <c r="K189" s="171"/>
      <c r="L189" s="171"/>
      <c r="M189" s="171"/>
      <c r="N189" s="170"/>
      <c r="O189" s="170"/>
      <c r="P189" s="170"/>
      <c r="Q189" s="170"/>
      <c r="R189" s="170"/>
      <c r="S189" s="170"/>
      <c r="T189" s="170"/>
      <c r="U189" s="170"/>
      <c r="V189" s="170"/>
      <c r="W189" s="170"/>
    </row>
    <row r="190" spans="1:23">
      <c r="A190" s="171"/>
      <c r="B190" s="171"/>
      <c r="C190" s="171"/>
      <c r="D190" s="171"/>
      <c r="E190" s="171"/>
      <c r="F190" s="171"/>
      <c r="G190" s="171"/>
      <c r="H190" s="171"/>
      <c r="I190" s="171"/>
      <c r="J190" s="171"/>
      <c r="K190" s="171"/>
      <c r="L190" s="171"/>
      <c r="M190" s="171"/>
      <c r="N190" s="170"/>
      <c r="O190" s="170"/>
      <c r="P190" s="170"/>
      <c r="Q190" s="170"/>
      <c r="R190" s="170"/>
      <c r="S190" s="170"/>
      <c r="T190" s="170"/>
      <c r="U190" s="170"/>
      <c r="V190" s="170"/>
      <c r="W190" s="170"/>
    </row>
    <row r="191" spans="1:23">
      <c r="A191" s="171"/>
      <c r="B191" s="171"/>
      <c r="C191" s="171"/>
      <c r="D191" s="171"/>
      <c r="E191" s="171"/>
      <c r="F191" s="171"/>
      <c r="G191" s="171"/>
      <c r="H191" s="171"/>
      <c r="I191" s="171"/>
      <c r="J191" s="171"/>
      <c r="K191" s="171"/>
      <c r="L191" s="171"/>
      <c r="M191" s="171"/>
      <c r="N191" s="170"/>
      <c r="O191" s="170"/>
      <c r="P191" s="170"/>
      <c r="Q191" s="170"/>
      <c r="R191" s="170"/>
      <c r="S191" s="170"/>
      <c r="T191" s="170"/>
      <c r="U191" s="170"/>
      <c r="V191" s="170"/>
      <c r="W191" s="170"/>
    </row>
    <row r="192" spans="1:23">
      <c r="A192" s="171"/>
      <c r="B192" s="171"/>
      <c r="C192" s="171"/>
      <c r="D192" s="171"/>
      <c r="E192" s="171"/>
      <c r="F192" s="171"/>
      <c r="G192" s="171"/>
      <c r="H192" s="171"/>
      <c r="I192" s="171"/>
      <c r="J192" s="171"/>
      <c r="K192" s="171"/>
      <c r="L192" s="171"/>
      <c r="M192" s="171"/>
      <c r="N192" s="170"/>
      <c r="O192" s="170"/>
      <c r="P192" s="170"/>
      <c r="Q192" s="170"/>
      <c r="R192" s="170"/>
      <c r="S192" s="170"/>
      <c r="T192" s="170"/>
      <c r="U192" s="170"/>
      <c r="V192" s="170"/>
      <c r="W192" s="170"/>
    </row>
    <row r="193" spans="1:23">
      <c r="A193" s="171"/>
      <c r="B193" s="171"/>
      <c r="C193" s="171"/>
      <c r="D193" s="171"/>
      <c r="E193" s="171"/>
      <c r="F193" s="171"/>
      <c r="G193" s="171"/>
      <c r="H193" s="171"/>
      <c r="I193" s="171"/>
      <c r="J193" s="171"/>
      <c r="K193" s="171"/>
      <c r="L193" s="171"/>
      <c r="M193" s="171"/>
      <c r="N193" s="170"/>
      <c r="O193" s="170"/>
      <c r="P193" s="170"/>
      <c r="Q193" s="170"/>
      <c r="R193" s="170"/>
      <c r="S193" s="170"/>
      <c r="T193" s="170"/>
      <c r="U193" s="170"/>
      <c r="V193" s="170"/>
      <c r="W193" s="170"/>
    </row>
    <row r="194" spans="1:23">
      <c r="A194" s="171"/>
      <c r="B194" s="171"/>
      <c r="C194" s="171"/>
      <c r="D194" s="171"/>
      <c r="E194" s="171"/>
      <c r="F194" s="171"/>
      <c r="G194" s="171"/>
      <c r="H194" s="171"/>
      <c r="I194" s="171"/>
      <c r="J194" s="171"/>
      <c r="K194" s="171"/>
      <c r="L194" s="171"/>
      <c r="M194" s="171"/>
      <c r="N194" s="170"/>
      <c r="O194" s="170"/>
      <c r="P194" s="170"/>
      <c r="Q194" s="170"/>
      <c r="R194" s="170"/>
      <c r="S194" s="170"/>
      <c r="T194" s="170"/>
      <c r="U194" s="170"/>
      <c r="V194" s="170"/>
      <c r="W194" s="170"/>
    </row>
    <row r="195" spans="1:23">
      <c r="A195" s="171"/>
      <c r="B195" s="171"/>
      <c r="C195" s="171"/>
      <c r="D195" s="171"/>
      <c r="E195" s="171"/>
      <c r="F195" s="171"/>
      <c r="G195" s="171"/>
      <c r="H195" s="171"/>
      <c r="I195" s="171"/>
      <c r="J195" s="171"/>
      <c r="K195" s="171"/>
      <c r="L195" s="171"/>
      <c r="M195" s="171"/>
      <c r="N195" s="170"/>
      <c r="O195" s="170"/>
      <c r="P195" s="170"/>
      <c r="Q195" s="170"/>
      <c r="R195" s="170"/>
      <c r="S195" s="170"/>
      <c r="T195" s="170"/>
      <c r="U195" s="170"/>
      <c r="V195" s="170"/>
      <c r="W195" s="170"/>
    </row>
  </sheetData>
  <sheetProtection algorithmName="SHA-512" hashValue="gmFxjDfdGRrMGfJw3xYtLKDbRscHPj4hSVLL28pkj7MJAXqVS/zr3HVFx1lWdsfCo//zvTJytjmEXflzbU0N8g==" saltValue="j65NGZ87HKI0r/Ch2/qFhg==" spinCount="100000" sheet="1" formatCells="0" formatColumns="0" formatRows="0" insertColumns="0" insertRows="0" insertHyperlinks="0" deleteColumns="0" deleteRows="0" sort="0" autoFilter="0" pivotTables="0"/>
  <sortState xmlns:xlrd2="http://schemas.microsoft.com/office/spreadsheetml/2017/richdata2" ref="E43:H63">
    <sortCondition ref="H43:H63"/>
  </sortState>
  <mergeCells count="28">
    <mergeCell ref="J40:M41"/>
    <mergeCell ref="E40:H41"/>
    <mergeCell ref="A1:A4"/>
    <mergeCell ref="A40:C41"/>
    <mergeCell ref="A14:G14"/>
    <mergeCell ref="M1:M4"/>
    <mergeCell ref="K1:L4"/>
    <mergeCell ref="C1:J4"/>
    <mergeCell ref="A60:B60"/>
    <mergeCell ref="A66:C68"/>
    <mergeCell ref="A54:C55"/>
    <mergeCell ref="A62:B62"/>
    <mergeCell ref="A61:B61"/>
    <mergeCell ref="A63:B63"/>
    <mergeCell ref="A57:B57"/>
    <mergeCell ref="A56:B56"/>
    <mergeCell ref="A47:B47"/>
    <mergeCell ref="A49:B49"/>
    <mergeCell ref="A48:B48"/>
    <mergeCell ref="A58:B58"/>
    <mergeCell ref="A59:B59"/>
    <mergeCell ref="A50:B50"/>
    <mergeCell ref="A51:B51"/>
    <mergeCell ref="A42:B42"/>
    <mergeCell ref="A44:B44"/>
    <mergeCell ref="A45:B45"/>
    <mergeCell ref="A46:B46"/>
    <mergeCell ref="A43:B43"/>
  </mergeCells>
  <pageMargins left="0.56999999999999995" right="0.17" top="0.44" bottom="0.77" header="0.32" footer="0.66"/>
  <pageSetup paperSize="5" scale="17"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720D2-8B97-4FA7-A840-939F0086406B}">
  <sheetPr codeName="Sheet6"/>
  <dimension ref="A1:Q153"/>
  <sheetViews>
    <sheetView topLeftCell="A71" zoomScaleNormal="100" workbookViewId="0">
      <selection activeCell="A83" sqref="A83"/>
    </sheetView>
  </sheetViews>
  <sheetFormatPr defaultColWidth="15.140625" defaultRowHeight="12.75"/>
  <cols>
    <col min="1" max="1" width="29.42578125" bestFit="1" customWidth="1"/>
    <col min="2" max="2" width="19.5703125" style="5" bestFit="1" customWidth="1"/>
    <col min="3" max="3" width="18.42578125" style="5" bestFit="1" customWidth="1"/>
    <col min="4" max="4" width="29.28515625" style="5" bestFit="1" customWidth="1"/>
    <col min="5" max="5" width="16" style="5" bestFit="1" customWidth="1"/>
    <col min="6" max="6" width="15" style="5" bestFit="1" customWidth="1"/>
    <col min="7" max="7" width="24.5703125" style="5" bestFit="1" customWidth="1"/>
    <col min="8" max="8" width="16.28515625" bestFit="1" customWidth="1"/>
    <col min="9" max="9" width="25.28515625" bestFit="1" customWidth="1"/>
    <col min="12" max="12" width="7.42578125" style="103" bestFit="1" customWidth="1"/>
    <col min="13" max="13" width="25.28515625" bestFit="1" customWidth="1"/>
    <col min="14" max="14" width="27.85546875" bestFit="1" customWidth="1"/>
    <col min="15" max="15" width="18.85546875" style="102" customWidth="1"/>
  </cols>
  <sheetData>
    <row r="1" spans="1:15" s="25" customFormat="1" ht="22.5">
      <c r="A1" s="106" t="s">
        <v>23</v>
      </c>
      <c r="B1" s="107" t="s">
        <v>0</v>
      </c>
      <c r="C1" s="107" t="s">
        <v>335</v>
      </c>
      <c r="D1" s="107" t="s">
        <v>1</v>
      </c>
      <c r="E1" s="107" t="s">
        <v>2</v>
      </c>
      <c r="F1" s="107" t="s">
        <v>3</v>
      </c>
      <c r="G1" s="107" t="s">
        <v>4</v>
      </c>
      <c r="H1" s="108"/>
      <c r="I1" s="108"/>
      <c r="J1" s="108"/>
      <c r="K1" s="108"/>
      <c r="L1" s="109"/>
      <c r="M1" s="108"/>
      <c r="N1" s="108"/>
      <c r="O1" s="110"/>
    </row>
    <row r="2" spans="1:15" ht="13.5" thickBot="1">
      <c r="A2" s="27">
        <v>46201</v>
      </c>
      <c r="B2" s="28">
        <v>432281549.83499914</v>
      </c>
      <c r="C2" s="29">
        <v>0</v>
      </c>
      <c r="D2" s="29">
        <v>0</v>
      </c>
      <c r="E2" s="29">
        <v>0</v>
      </c>
      <c r="F2" s="29">
        <v>0</v>
      </c>
      <c r="G2" s="30">
        <v>432281549.83499914</v>
      </c>
      <c r="J2" s="114"/>
      <c r="O2" s="115"/>
    </row>
    <row r="3" spans="1:15" ht="13.5" thickBot="1">
      <c r="A3" s="27">
        <v>46202</v>
      </c>
      <c r="B3" s="28">
        <v>432281549.83499914</v>
      </c>
      <c r="C3" s="29">
        <v>-4235041.16</v>
      </c>
      <c r="D3" s="29">
        <v>913775.46</v>
      </c>
      <c r="E3" s="29">
        <v>174783.42</v>
      </c>
      <c r="F3" s="29">
        <v>0</v>
      </c>
      <c r="G3" s="30">
        <v>429135067.55499911</v>
      </c>
      <c r="H3" s="153" t="s">
        <v>23</v>
      </c>
      <c r="I3" s="154" t="s">
        <v>412</v>
      </c>
      <c r="L3"/>
      <c r="M3" s="115"/>
      <c r="O3" s="115"/>
    </row>
    <row r="4" spans="1:15" ht="13.5" thickBot="1">
      <c r="A4" s="27">
        <v>46203</v>
      </c>
      <c r="B4" s="28">
        <v>429135067.55499911</v>
      </c>
      <c r="C4" s="29">
        <v>-22741.08</v>
      </c>
      <c r="D4" s="29">
        <v>10803595.470000001</v>
      </c>
      <c r="E4" s="29">
        <v>936279</v>
      </c>
      <c r="F4" s="29">
        <v>-10080298.880000001</v>
      </c>
      <c r="G4" s="30">
        <v>430771902.06499916</v>
      </c>
      <c r="H4" s="167">
        <v>46201</v>
      </c>
      <c r="I4" s="150">
        <v>432281549.83499914</v>
      </c>
      <c r="L4" s="153" t="s">
        <v>23</v>
      </c>
      <c r="M4" s="155" t="s">
        <v>412</v>
      </c>
      <c r="O4" s="115"/>
    </row>
    <row r="5" spans="1:15" ht="13.5" thickBot="1">
      <c r="A5" s="27">
        <v>46204</v>
      </c>
      <c r="B5" s="28">
        <v>430771902.06499916</v>
      </c>
      <c r="C5" s="29">
        <v>-19153.2</v>
      </c>
      <c r="D5" s="29">
        <v>9961228.3000000007</v>
      </c>
      <c r="E5" s="29">
        <v>131803103.51000001</v>
      </c>
      <c r="F5" s="29">
        <v>-16422823.34</v>
      </c>
      <c r="G5" s="30">
        <v>556094257.3349992</v>
      </c>
      <c r="H5" s="167">
        <v>46202</v>
      </c>
      <c r="I5" s="151">
        <v>429135067.55499911</v>
      </c>
      <c r="L5" s="158">
        <v>46230</v>
      </c>
      <c r="M5" s="155">
        <v>549801253.98499894</v>
      </c>
      <c r="O5" s="115"/>
    </row>
    <row r="6" spans="1:15">
      <c r="A6" s="27">
        <v>46205</v>
      </c>
      <c r="B6" s="28">
        <v>556094257.3349992</v>
      </c>
      <c r="C6" s="29">
        <v>-677212.65</v>
      </c>
      <c r="D6" s="29">
        <v>62404319.68</v>
      </c>
      <c r="E6" s="29">
        <v>167632.31</v>
      </c>
      <c r="F6" s="29">
        <v>-1702219.87</v>
      </c>
      <c r="G6" s="30">
        <v>616286776.80499911</v>
      </c>
      <c r="H6" s="167">
        <v>46203</v>
      </c>
      <c r="I6" s="151">
        <v>430771902.06499916</v>
      </c>
      <c r="L6"/>
      <c r="O6" s="115"/>
    </row>
    <row r="7" spans="1:15">
      <c r="A7" s="27">
        <v>46206</v>
      </c>
      <c r="B7" s="28">
        <v>616286776.80499911</v>
      </c>
      <c r="C7" s="29">
        <v>0</v>
      </c>
      <c r="D7" s="29">
        <v>0</v>
      </c>
      <c r="E7" s="29">
        <v>0</v>
      </c>
      <c r="F7" s="29">
        <v>0</v>
      </c>
      <c r="G7" s="30">
        <v>616286776.80499911</v>
      </c>
      <c r="H7" s="167">
        <v>46204</v>
      </c>
      <c r="I7" s="151">
        <v>556094257.3349992</v>
      </c>
      <c r="L7"/>
      <c r="O7" s="115"/>
    </row>
    <row r="8" spans="1:15">
      <c r="A8" s="27">
        <v>46207</v>
      </c>
      <c r="B8" s="28">
        <v>616286776.80499911</v>
      </c>
      <c r="C8" s="29">
        <v>0</v>
      </c>
      <c r="D8" s="29">
        <v>0</v>
      </c>
      <c r="E8" s="29">
        <v>0</v>
      </c>
      <c r="F8" s="29">
        <v>0</v>
      </c>
      <c r="G8" s="30">
        <v>616286776.80499911</v>
      </c>
      <c r="H8" s="167">
        <v>46205</v>
      </c>
      <c r="I8" s="151">
        <v>616286776.80499911</v>
      </c>
      <c r="L8"/>
      <c r="O8" s="115"/>
    </row>
    <row r="9" spans="1:15">
      <c r="A9" s="27">
        <v>46208</v>
      </c>
      <c r="B9" s="28">
        <v>616286776.80499911</v>
      </c>
      <c r="C9" s="29">
        <v>0</v>
      </c>
      <c r="D9" s="29">
        <v>0</v>
      </c>
      <c r="E9" s="29">
        <v>0</v>
      </c>
      <c r="F9" s="29">
        <v>0</v>
      </c>
      <c r="G9" s="30">
        <v>616286776.80499911</v>
      </c>
      <c r="H9" s="167">
        <v>46206</v>
      </c>
      <c r="I9" s="151">
        <v>616286776.80499911</v>
      </c>
      <c r="L9"/>
      <c r="O9" s="115"/>
    </row>
    <row r="10" spans="1:15">
      <c r="A10" s="27">
        <v>46209</v>
      </c>
      <c r="B10" s="28">
        <v>616286776.80499911</v>
      </c>
      <c r="C10" s="29">
        <v>-860814.23</v>
      </c>
      <c r="D10" s="29">
        <v>22129673.879999999</v>
      </c>
      <c r="E10" s="29">
        <v>11914391.24</v>
      </c>
      <c r="F10" s="29">
        <v>-158731971.53</v>
      </c>
      <c r="G10" s="30">
        <v>490738056.16499913</v>
      </c>
      <c r="H10" s="167">
        <v>46207</v>
      </c>
      <c r="I10" s="151">
        <v>616286776.80499911</v>
      </c>
      <c r="L10"/>
      <c r="O10" s="115"/>
    </row>
    <row r="11" spans="1:15">
      <c r="A11" s="27">
        <v>46210</v>
      </c>
      <c r="B11" s="28">
        <v>490738056.16499913</v>
      </c>
      <c r="C11" s="29">
        <v>-1963166.97</v>
      </c>
      <c r="D11" s="29">
        <v>22043.39</v>
      </c>
      <c r="E11" s="29">
        <v>1536007.09</v>
      </c>
      <c r="F11" s="29">
        <v>-28249255.359999999</v>
      </c>
      <c r="G11" s="30">
        <v>462083684.31499904</v>
      </c>
      <c r="H11" s="167">
        <v>46208</v>
      </c>
      <c r="I11" s="151">
        <v>616286776.80499911</v>
      </c>
      <c r="L11"/>
      <c r="O11" s="115"/>
    </row>
    <row r="12" spans="1:15">
      <c r="A12" s="27">
        <v>46211</v>
      </c>
      <c r="B12" s="28">
        <v>462083684.31499904</v>
      </c>
      <c r="C12" s="29">
        <v>-2933002.89</v>
      </c>
      <c r="D12" s="29">
        <v>180720944.52000001</v>
      </c>
      <c r="E12" s="29">
        <v>1321431.8999999999</v>
      </c>
      <c r="F12" s="29">
        <v>-165139.22</v>
      </c>
      <c r="G12" s="30">
        <v>641027918.62499905</v>
      </c>
      <c r="H12" s="167">
        <v>46209</v>
      </c>
      <c r="I12" s="151">
        <v>490738056.16499913</v>
      </c>
      <c r="L12"/>
      <c r="O12" s="115"/>
    </row>
    <row r="13" spans="1:15">
      <c r="A13" s="27">
        <v>46212</v>
      </c>
      <c r="B13" s="28">
        <v>641027918.62499905</v>
      </c>
      <c r="C13" s="29">
        <v>-1596339.5</v>
      </c>
      <c r="D13" s="29">
        <v>2013947.58</v>
      </c>
      <c r="E13" s="29">
        <v>6669251.0499999998</v>
      </c>
      <c r="F13" s="29">
        <v>-16357309.779999999</v>
      </c>
      <c r="G13" s="30">
        <v>631757467.97499907</v>
      </c>
      <c r="H13" s="167">
        <v>46210</v>
      </c>
      <c r="I13" s="151">
        <v>462083684.31499904</v>
      </c>
      <c r="L13"/>
      <c r="O13" s="115"/>
    </row>
    <row r="14" spans="1:15">
      <c r="A14" s="27">
        <v>46213</v>
      </c>
      <c r="B14" s="28">
        <v>631757467.97499907</v>
      </c>
      <c r="C14" s="29">
        <v>-2899947.03</v>
      </c>
      <c r="D14" s="29">
        <v>10179454.449999999</v>
      </c>
      <c r="E14" s="29">
        <v>2009531.15</v>
      </c>
      <c r="F14" s="29">
        <v>-89998832.310000002</v>
      </c>
      <c r="G14" s="30">
        <v>551047674.23499918</v>
      </c>
      <c r="H14" s="167">
        <v>46211</v>
      </c>
      <c r="I14" s="151">
        <v>641027918.62499905</v>
      </c>
      <c r="L14"/>
      <c r="O14" s="115"/>
    </row>
    <row r="15" spans="1:15">
      <c r="A15" s="27">
        <v>46214</v>
      </c>
      <c r="B15" s="28">
        <v>551047674.23499918</v>
      </c>
      <c r="C15" s="29">
        <v>0</v>
      </c>
      <c r="D15" s="29">
        <v>0</v>
      </c>
      <c r="E15" s="29">
        <v>0</v>
      </c>
      <c r="F15" s="29">
        <v>0</v>
      </c>
      <c r="G15" s="30">
        <v>551047674.23499918</v>
      </c>
      <c r="H15" s="167">
        <v>46212</v>
      </c>
      <c r="I15" s="151">
        <v>631757467.97499907</v>
      </c>
      <c r="L15"/>
      <c r="O15" s="115"/>
    </row>
    <row r="16" spans="1:15">
      <c r="A16" s="27">
        <v>46215</v>
      </c>
      <c r="B16" s="28">
        <v>551047674.23499918</v>
      </c>
      <c r="C16" s="29">
        <v>0</v>
      </c>
      <c r="D16" s="29">
        <v>0</v>
      </c>
      <c r="E16" s="29">
        <v>0</v>
      </c>
      <c r="F16" s="29">
        <v>0</v>
      </c>
      <c r="G16" s="30">
        <v>551047674.23499918</v>
      </c>
      <c r="H16" s="167">
        <v>46213</v>
      </c>
      <c r="I16" s="151">
        <v>551047674.23499918</v>
      </c>
      <c r="L16"/>
      <c r="O16" s="115"/>
    </row>
    <row r="17" spans="1:15">
      <c r="A17" s="27">
        <v>46216</v>
      </c>
      <c r="B17" s="28">
        <v>551047674.23499918</v>
      </c>
      <c r="C17" s="29">
        <v>-5653068.6100000003</v>
      </c>
      <c r="D17" s="29">
        <v>2138666.36</v>
      </c>
      <c r="E17" s="29">
        <v>0</v>
      </c>
      <c r="F17" s="29">
        <v>-121283.2</v>
      </c>
      <c r="G17" s="30">
        <v>547411988.78499913</v>
      </c>
      <c r="H17" s="167">
        <v>46214</v>
      </c>
      <c r="I17" s="151">
        <v>551047674.23499918</v>
      </c>
      <c r="L17"/>
      <c r="O17" s="115"/>
    </row>
    <row r="18" spans="1:15">
      <c r="A18" s="27">
        <v>46217</v>
      </c>
      <c r="B18" s="28">
        <v>547411988.78499913</v>
      </c>
      <c r="C18" s="29">
        <v>-5517367.0199999996</v>
      </c>
      <c r="D18" s="29">
        <v>6805806.5899999999</v>
      </c>
      <c r="E18" s="29">
        <v>34534909.030000001</v>
      </c>
      <c r="F18" s="29">
        <v>-1616217.81</v>
      </c>
      <c r="G18" s="30">
        <v>581619119.57499921</v>
      </c>
      <c r="H18" s="167">
        <v>46215</v>
      </c>
      <c r="I18" s="151">
        <v>551047674.23499918</v>
      </c>
      <c r="L18"/>
      <c r="O18" s="115"/>
    </row>
    <row r="19" spans="1:15">
      <c r="A19" s="27">
        <v>46218</v>
      </c>
      <c r="B19" s="28">
        <v>581619119.57499921</v>
      </c>
      <c r="C19" s="29">
        <v>-4022354.47</v>
      </c>
      <c r="D19" s="29">
        <v>6322577.3799999999</v>
      </c>
      <c r="E19" s="29">
        <v>602731.77</v>
      </c>
      <c r="F19" s="29">
        <v>-1725397.64</v>
      </c>
      <c r="G19" s="30">
        <v>582796676.61499918</v>
      </c>
      <c r="H19" s="167">
        <v>46216</v>
      </c>
      <c r="I19" s="151">
        <v>547411988.78499913</v>
      </c>
      <c r="L19"/>
      <c r="O19" s="115"/>
    </row>
    <row r="20" spans="1:15">
      <c r="A20" s="27">
        <v>46219</v>
      </c>
      <c r="B20" s="28">
        <v>582796676.61499918</v>
      </c>
      <c r="C20" s="29">
        <v>-8015370.4500000002</v>
      </c>
      <c r="D20" s="29">
        <v>7838651.7300000004</v>
      </c>
      <c r="E20" s="29">
        <v>179540171.5</v>
      </c>
      <c r="F20" s="29">
        <v>-180474899.72999999</v>
      </c>
      <c r="G20" s="30">
        <v>581685229.66499913</v>
      </c>
      <c r="H20" s="167">
        <v>46217</v>
      </c>
      <c r="I20" s="151">
        <v>581619119.57499921</v>
      </c>
      <c r="L20"/>
      <c r="O20" s="115"/>
    </row>
    <row r="21" spans="1:15">
      <c r="A21" s="27">
        <v>46220</v>
      </c>
      <c r="B21" s="28">
        <v>581685229.66499913</v>
      </c>
      <c r="C21" s="29">
        <v>-5623808.2199999988</v>
      </c>
      <c r="D21" s="29">
        <v>5581445.8200000003</v>
      </c>
      <c r="E21" s="29">
        <v>5410471.4100000001</v>
      </c>
      <c r="F21" s="29">
        <v>-25837598.710000001</v>
      </c>
      <c r="G21" s="30">
        <v>561215739.96499908</v>
      </c>
      <c r="H21" s="167">
        <v>46218</v>
      </c>
      <c r="I21" s="151">
        <v>582796676.61499918</v>
      </c>
      <c r="L21"/>
      <c r="O21" s="115"/>
    </row>
    <row r="22" spans="1:15">
      <c r="A22" s="27">
        <v>46221</v>
      </c>
      <c r="B22" s="28">
        <v>561215739.96499908</v>
      </c>
      <c r="C22" s="29">
        <v>0</v>
      </c>
      <c r="D22" s="29">
        <v>0</v>
      </c>
      <c r="E22" s="29">
        <v>0</v>
      </c>
      <c r="F22" s="29">
        <v>0</v>
      </c>
      <c r="G22" s="30">
        <v>561215739.96499908</v>
      </c>
      <c r="H22" s="167">
        <v>46219</v>
      </c>
      <c r="I22" s="151">
        <v>581685229.66499913</v>
      </c>
      <c r="L22"/>
      <c r="O22" s="115"/>
    </row>
    <row r="23" spans="1:15">
      <c r="A23" s="27">
        <v>46222</v>
      </c>
      <c r="B23" s="28">
        <v>561215739.96499908</v>
      </c>
      <c r="C23" s="29">
        <v>0</v>
      </c>
      <c r="D23" s="29">
        <v>0</v>
      </c>
      <c r="E23" s="29">
        <v>0</v>
      </c>
      <c r="F23" s="29">
        <v>0</v>
      </c>
      <c r="G23" s="30">
        <v>561215739.96499908</v>
      </c>
      <c r="H23" s="167">
        <v>46220</v>
      </c>
      <c r="I23" s="151">
        <v>561215739.96499908</v>
      </c>
      <c r="L23"/>
      <c r="O23" s="115"/>
    </row>
    <row r="24" spans="1:15">
      <c r="A24" s="27">
        <v>46223</v>
      </c>
      <c r="B24" s="28">
        <v>561215739.96499908</v>
      </c>
      <c r="C24" s="29">
        <v>-3982923.23</v>
      </c>
      <c r="D24" s="29">
        <v>1773436.37</v>
      </c>
      <c r="E24" s="29">
        <v>19116579.059999999</v>
      </c>
      <c r="F24" s="29">
        <v>-3510823.27</v>
      </c>
      <c r="G24" s="30">
        <v>574612008.89499903</v>
      </c>
      <c r="H24" s="167">
        <v>46221</v>
      </c>
      <c r="I24" s="151">
        <v>561215739.96499908</v>
      </c>
      <c r="L24"/>
      <c r="O24" s="115"/>
    </row>
    <row r="25" spans="1:15">
      <c r="A25" s="27">
        <v>46224</v>
      </c>
      <c r="B25" s="28">
        <v>574612008.89499903</v>
      </c>
      <c r="C25" s="29">
        <v>-2632720.08</v>
      </c>
      <c r="D25" s="29">
        <v>103686.9</v>
      </c>
      <c r="E25" s="29">
        <v>843107.48</v>
      </c>
      <c r="F25" s="29">
        <v>-1136096.27</v>
      </c>
      <c r="G25" s="30">
        <v>571789986.924999</v>
      </c>
      <c r="H25" s="167">
        <v>46222</v>
      </c>
      <c r="I25" s="151">
        <v>561215739.96499908</v>
      </c>
      <c r="L25"/>
      <c r="O25" s="115"/>
    </row>
    <row r="26" spans="1:15">
      <c r="A26" s="27">
        <v>46225</v>
      </c>
      <c r="B26" s="28">
        <v>571789986.924999</v>
      </c>
      <c r="C26" s="29">
        <v>-11164251.550000001</v>
      </c>
      <c r="D26" s="29">
        <v>2584998.7799999998</v>
      </c>
      <c r="E26" s="29">
        <v>12141317.83</v>
      </c>
      <c r="F26" s="29">
        <v>-1440734.01</v>
      </c>
      <c r="G26" s="30">
        <v>573911317.97499907</v>
      </c>
      <c r="H26" s="167">
        <v>46223</v>
      </c>
      <c r="I26" s="151">
        <v>574612008.89499903</v>
      </c>
      <c r="L26"/>
      <c r="O26" s="115"/>
    </row>
    <row r="27" spans="1:15">
      <c r="A27" s="27">
        <v>46226</v>
      </c>
      <c r="B27" s="28">
        <v>573911317.97499907</v>
      </c>
      <c r="C27" s="29">
        <v>-3592839.94</v>
      </c>
      <c r="D27" s="29">
        <v>189834.43</v>
      </c>
      <c r="E27" s="29">
        <v>11876391.68</v>
      </c>
      <c r="F27" s="29">
        <v>-7944863.3399999999</v>
      </c>
      <c r="G27" s="30">
        <v>574439840.80499887</v>
      </c>
      <c r="H27" s="167">
        <v>46224</v>
      </c>
      <c r="I27" s="151">
        <v>571789986.924999</v>
      </c>
      <c r="L27"/>
      <c r="O27" s="115"/>
    </row>
    <row r="28" spans="1:15">
      <c r="A28" s="27">
        <v>46227</v>
      </c>
      <c r="B28" s="28">
        <v>574439840.80499887</v>
      </c>
      <c r="C28" s="29">
        <v>-1693271.42</v>
      </c>
      <c r="D28" s="29">
        <v>8630375.6999999993</v>
      </c>
      <c r="E28" s="29">
        <v>4164022</v>
      </c>
      <c r="F28" s="29">
        <v>-33952991.490000002</v>
      </c>
      <c r="G28" s="30">
        <v>551587975.59499896</v>
      </c>
      <c r="H28" s="167">
        <v>46225</v>
      </c>
      <c r="I28" s="151">
        <v>573911317.97499907</v>
      </c>
      <c r="L28"/>
      <c r="O28" s="115"/>
    </row>
    <row r="29" spans="1:15">
      <c r="A29" s="27">
        <v>46228</v>
      </c>
      <c r="B29" s="28">
        <v>551587975.59499896</v>
      </c>
      <c r="C29" s="29">
        <v>0</v>
      </c>
      <c r="D29" s="29">
        <v>0</v>
      </c>
      <c r="E29" s="29">
        <v>0</v>
      </c>
      <c r="F29" s="29">
        <v>0</v>
      </c>
      <c r="G29" s="30">
        <v>551587975.59499896</v>
      </c>
      <c r="H29" s="167">
        <v>46226</v>
      </c>
      <c r="I29" s="151">
        <v>574439840.80499887</v>
      </c>
      <c r="L29"/>
      <c r="O29" s="115"/>
    </row>
    <row r="30" spans="1:15">
      <c r="A30" s="27">
        <v>46229</v>
      </c>
      <c r="B30" s="28">
        <v>551587975.59499896</v>
      </c>
      <c r="C30" s="29">
        <v>0</v>
      </c>
      <c r="D30" s="29">
        <v>0</v>
      </c>
      <c r="E30" s="29">
        <v>0</v>
      </c>
      <c r="F30" s="29">
        <v>0</v>
      </c>
      <c r="G30" s="30">
        <v>551587975.59499896</v>
      </c>
      <c r="H30" s="167">
        <v>46227</v>
      </c>
      <c r="I30" s="151">
        <v>551587975.59499896</v>
      </c>
      <c r="L30"/>
      <c r="O30" s="115"/>
    </row>
    <row r="31" spans="1:15">
      <c r="A31" s="27">
        <v>46230</v>
      </c>
      <c r="B31" s="28">
        <v>551587975.59499896</v>
      </c>
      <c r="C31" s="29">
        <v>-2966154.9</v>
      </c>
      <c r="D31" s="29">
        <v>1179433.29</v>
      </c>
      <c r="E31" s="29">
        <v>0</v>
      </c>
      <c r="F31" s="29">
        <v>0</v>
      </c>
      <c r="G31" s="30">
        <v>549801253.98499894</v>
      </c>
      <c r="H31" s="167">
        <v>46228</v>
      </c>
      <c r="I31" s="151">
        <v>551587975.59499896</v>
      </c>
      <c r="L31"/>
      <c r="O31" s="115"/>
    </row>
    <row r="32" spans="1:15">
      <c r="H32" s="167">
        <v>46229</v>
      </c>
      <c r="I32" s="151">
        <v>551587975.59499896</v>
      </c>
      <c r="L32"/>
      <c r="O32" s="115"/>
    </row>
    <row r="33" spans="1:17" ht="13.5" thickBot="1">
      <c r="H33" s="158">
        <v>46230</v>
      </c>
      <c r="I33" s="152">
        <v>549801253.98499894</v>
      </c>
      <c r="L33"/>
      <c r="O33" s="115"/>
    </row>
    <row r="34" spans="1:17">
      <c r="L34"/>
      <c r="O34" s="115"/>
    </row>
    <row r="35" spans="1:17">
      <c r="O35" s="115"/>
    </row>
    <row r="36" spans="1:17">
      <c r="A36" s="111"/>
      <c r="B36" s="112"/>
      <c r="C36" s="112"/>
      <c r="D36" s="112"/>
      <c r="E36" s="112"/>
      <c r="F36" s="112"/>
      <c r="G36" s="113"/>
      <c r="O36" s="115"/>
    </row>
    <row r="37" spans="1:17" ht="13.5" thickBot="1">
      <c r="A37" s="117"/>
      <c r="B37" s="118"/>
      <c r="C37" s="118"/>
      <c r="D37" s="118"/>
      <c r="E37" s="118"/>
      <c r="F37" s="118"/>
      <c r="G37" s="118"/>
      <c r="H37" s="119"/>
      <c r="I37" s="119"/>
      <c r="J37" s="119"/>
      <c r="K37" s="119"/>
      <c r="L37" s="120"/>
      <c r="M37" s="119"/>
      <c r="N37" s="119"/>
      <c r="O37" s="121"/>
    </row>
    <row r="39" spans="1:17" ht="13.5" thickBot="1"/>
    <row r="40" spans="1:17" ht="16.5" customHeight="1" thickBot="1">
      <c r="A40" s="131" t="s">
        <v>442</v>
      </c>
      <c r="B40" s="132"/>
      <c r="D40" s="101" t="s">
        <v>462</v>
      </c>
      <c r="E40" s="159" t="s">
        <v>464</v>
      </c>
      <c r="G40" s="278" t="s">
        <v>524</v>
      </c>
      <c r="H40" s="281"/>
      <c r="I40" s="282"/>
      <c r="L40" s="114"/>
    </row>
    <row r="41" spans="1:17" ht="13.5" customHeight="1" thickBot="1">
      <c r="A41" s="116" t="s">
        <v>446</v>
      </c>
      <c r="B41" s="133" t="s">
        <v>192</v>
      </c>
      <c r="D41" s="130" t="s">
        <v>443</v>
      </c>
      <c r="E41" s="160">
        <v>292133635.87</v>
      </c>
      <c r="G41" s="278" t="s">
        <v>525</v>
      </c>
      <c r="H41" s="279" t="s">
        <v>526</v>
      </c>
      <c r="I41" s="280" t="s">
        <v>192</v>
      </c>
      <c r="L41" s="322"/>
      <c r="M41" s="336"/>
      <c r="N41" s="300"/>
      <c r="O41" s="5"/>
      <c r="P41" s="300"/>
      <c r="Q41" s="20"/>
    </row>
    <row r="42" spans="1:17">
      <c r="A42" s="134" t="s">
        <v>443</v>
      </c>
      <c r="B42" s="169">
        <v>292133635.87</v>
      </c>
      <c r="D42" s="130" t="s">
        <v>434</v>
      </c>
      <c r="E42" s="160">
        <v>154189331.34999999</v>
      </c>
      <c r="F42"/>
      <c r="G42" s="283" t="s">
        <v>6685</v>
      </c>
      <c r="H42">
        <v>21450</v>
      </c>
      <c r="I42" s="310">
        <v>-6421202.0299999993</v>
      </c>
      <c r="J42" s="318"/>
      <c r="K42" s="319"/>
      <c r="L42" s="323"/>
      <c r="M42" s="336"/>
      <c r="N42" s="5"/>
      <c r="O42" s="5"/>
      <c r="P42" s="5"/>
      <c r="Q42" s="5"/>
    </row>
    <row r="43" spans="1:17" ht="15" customHeight="1">
      <c r="A43" s="134" t="s">
        <v>434</v>
      </c>
      <c r="B43" s="169">
        <v>154189331.34999999</v>
      </c>
      <c r="D43" s="130" t="s">
        <v>419</v>
      </c>
      <c r="E43" s="160">
        <v>8975335.0600000005</v>
      </c>
      <c r="G43" s="283" t="s">
        <v>6684</v>
      </c>
      <c r="H43">
        <v>30100</v>
      </c>
      <c r="I43" s="310">
        <v>-6147622.0999997631</v>
      </c>
      <c r="J43" s="318"/>
      <c r="K43" s="319"/>
      <c r="L43" s="323"/>
      <c r="M43" s="336"/>
      <c r="N43" s="5"/>
      <c r="O43" s="5"/>
      <c r="P43" s="5"/>
      <c r="Q43" s="5"/>
    </row>
    <row r="44" spans="1:17" ht="15">
      <c r="A44" s="134" t="s">
        <v>520</v>
      </c>
      <c r="B44" s="169">
        <v>94036176.390000001</v>
      </c>
      <c r="C44" s="99"/>
      <c r="D44" s="130" t="s">
        <v>501</v>
      </c>
      <c r="E44" s="160">
        <v>860434492.75</v>
      </c>
      <c r="G44" s="283" t="s">
        <v>6850</v>
      </c>
      <c r="H44">
        <v>47220</v>
      </c>
      <c r="I44" s="310">
        <v>-5430108.1630000016</v>
      </c>
      <c r="J44" s="318"/>
      <c r="K44" s="320"/>
      <c r="L44" s="324"/>
      <c r="M44" s="318"/>
      <c r="O44" s="5"/>
      <c r="P44" s="5"/>
      <c r="Q44" s="5"/>
    </row>
    <row r="45" spans="1:17" ht="15.75" customHeight="1">
      <c r="A45" s="134" t="s">
        <v>519</v>
      </c>
      <c r="B45" s="433">
        <v>225335596.71000001</v>
      </c>
      <c r="C45" s="125"/>
      <c r="D45" s="130" t="s">
        <v>424</v>
      </c>
      <c r="E45" s="160">
        <v>441321877.75999999</v>
      </c>
      <c r="F45" s="156"/>
      <c r="G45" s="430" t="s">
        <v>6923</v>
      </c>
      <c r="H45">
        <v>65085</v>
      </c>
      <c r="I45" s="431">
        <v>-2048185.5799999998</v>
      </c>
      <c r="J45" s="318"/>
      <c r="K45" s="319"/>
      <c r="L45" s="323"/>
      <c r="M45" s="318"/>
      <c r="O45" s="5"/>
      <c r="P45" s="5"/>
      <c r="Q45" s="5"/>
    </row>
    <row r="46" spans="1:17">
      <c r="A46" s="134" t="s">
        <v>419</v>
      </c>
      <c r="B46" s="433">
        <v>8975335.0600000005</v>
      </c>
      <c r="D46" s="130" t="s">
        <v>435</v>
      </c>
      <c r="E46" s="160">
        <v>66254218.960000001</v>
      </c>
      <c r="F46"/>
      <c r="G46" s="430" t="s">
        <v>6878</v>
      </c>
      <c r="H46">
        <v>65176</v>
      </c>
      <c r="I46" s="431">
        <v>-1270280.6099999999</v>
      </c>
      <c r="J46" s="318"/>
      <c r="K46" s="319"/>
      <c r="L46" s="323"/>
      <c r="M46" s="318"/>
      <c r="O46" s="5"/>
      <c r="P46" s="5"/>
      <c r="Q46" s="5"/>
    </row>
    <row r="47" spans="1:17" ht="15.75">
      <c r="A47" s="135" t="s">
        <v>501</v>
      </c>
      <c r="B47" s="433">
        <v>860434492.75</v>
      </c>
      <c r="C47" s="125"/>
      <c r="D47" s="130" t="s">
        <v>444</v>
      </c>
      <c r="E47" s="160">
        <v>213869713.56999999</v>
      </c>
      <c r="F47"/>
      <c r="G47" s="283" t="s">
        <v>6902</v>
      </c>
      <c r="H47">
        <v>22800</v>
      </c>
      <c r="I47" s="310">
        <v>-1129349.5600000005</v>
      </c>
      <c r="J47" s="318"/>
      <c r="K47" s="319"/>
      <c r="L47" s="323"/>
      <c r="M47" s="318"/>
      <c r="O47" s="348"/>
      <c r="P47" s="5"/>
      <c r="Q47" s="5"/>
    </row>
    <row r="48" spans="1:17" ht="15.75" customHeight="1">
      <c r="A48" s="135" t="s">
        <v>424</v>
      </c>
      <c r="B48" s="433">
        <v>441321877.75999999</v>
      </c>
      <c r="C48" s="125"/>
      <c r="D48" s="130" t="s">
        <v>445</v>
      </c>
      <c r="E48" s="160">
        <v>418130652.36000001</v>
      </c>
      <c r="F48"/>
      <c r="G48" s="283"/>
      <c r="I48" s="310"/>
      <c r="J48" s="318"/>
      <c r="K48" s="319"/>
      <c r="L48" s="323"/>
      <c r="M48" s="318"/>
      <c r="O48" s="348"/>
      <c r="P48" s="5"/>
      <c r="Q48" s="5"/>
    </row>
    <row r="49" spans="1:17" ht="15.75" customHeight="1">
      <c r="A49" s="135" t="s">
        <v>435</v>
      </c>
      <c r="B49" s="433">
        <v>66254218.960000001</v>
      </c>
      <c r="C49" s="125"/>
      <c r="D49" s="130" t="s">
        <v>520</v>
      </c>
      <c r="E49" s="160">
        <v>94036176.390000001</v>
      </c>
      <c r="F49"/>
      <c r="G49" s="283"/>
      <c r="I49" s="310"/>
      <c r="J49" s="318"/>
      <c r="K49" s="319"/>
      <c r="L49" s="323"/>
      <c r="M49" s="318"/>
      <c r="O49" s="348"/>
      <c r="P49" s="5"/>
      <c r="Q49" s="5"/>
    </row>
    <row r="50" spans="1:17" ht="15.75" customHeight="1">
      <c r="A50" s="135" t="s">
        <v>444</v>
      </c>
      <c r="B50" s="433">
        <v>213869713.56999999</v>
      </c>
      <c r="C50" s="125"/>
      <c r="D50" s="130" t="s">
        <v>519</v>
      </c>
      <c r="E50" s="160">
        <v>225335596.71000001</v>
      </c>
      <c r="F50"/>
      <c r="G50" s="283"/>
      <c r="I50" s="310"/>
      <c r="J50" s="318"/>
      <c r="K50" s="319"/>
      <c r="L50" s="323"/>
      <c r="M50" s="318"/>
      <c r="O50" s="348"/>
    </row>
    <row r="51" spans="1:17" ht="15.75">
      <c r="A51" s="135" t="s">
        <v>445</v>
      </c>
      <c r="B51" s="433">
        <v>418130652.36000001</v>
      </c>
      <c r="C51" s="125"/>
      <c r="D51" s="129" t="s">
        <v>463</v>
      </c>
      <c r="E51" s="159">
        <v>2774681030.7799997</v>
      </c>
      <c r="F51"/>
      <c r="G51" s="283"/>
      <c r="I51" s="310"/>
      <c r="L51" s="325"/>
      <c r="M51" s="318"/>
      <c r="O51" s="348"/>
    </row>
    <row r="52" spans="1:17" ht="15.75" customHeight="1">
      <c r="A52" s="136" t="s">
        <v>447</v>
      </c>
      <c r="B52" s="133"/>
      <c r="C52" s="125"/>
      <c r="D52"/>
      <c r="E52"/>
      <c r="F52"/>
      <c r="G52" s="283"/>
      <c r="I52" s="310"/>
      <c r="J52" s="318"/>
      <c r="K52" s="319"/>
      <c r="L52" s="323"/>
      <c r="M52" s="318"/>
      <c r="O52" s="348"/>
    </row>
    <row r="53" spans="1:17" ht="15.75" customHeight="1">
      <c r="A53" s="116" t="s">
        <v>446</v>
      </c>
      <c r="B53" s="133" t="s">
        <v>192</v>
      </c>
      <c r="C53" s="125"/>
      <c r="D53" s="101" t="s">
        <v>468</v>
      </c>
      <c r="E53" t="s">
        <v>470</v>
      </c>
      <c r="F53"/>
      <c r="G53" s="283"/>
      <c r="I53" s="310"/>
      <c r="J53" s="318"/>
      <c r="K53" s="319"/>
      <c r="L53" s="323"/>
      <c r="M53" s="318"/>
      <c r="O53" s="348"/>
    </row>
    <row r="54" spans="1:17" ht="15.75" customHeight="1">
      <c r="A54" s="134" t="s">
        <v>449</v>
      </c>
      <c r="B54" s="169">
        <v>4708564.87</v>
      </c>
      <c r="C54" s="125"/>
      <c r="D54" s="130" t="s">
        <v>469</v>
      </c>
      <c r="E54" s="161">
        <v>549801253.98499894</v>
      </c>
      <c r="F54"/>
      <c r="G54" s="283"/>
      <c r="I54" s="310"/>
      <c r="J54" s="318"/>
      <c r="K54" s="319"/>
      <c r="L54" s="321"/>
      <c r="M54" s="318"/>
      <c r="O54" s="348"/>
    </row>
    <row r="55" spans="1:17" ht="15.75">
      <c r="A55" s="134" t="s">
        <v>450</v>
      </c>
      <c r="B55" s="169">
        <v>571800329.26999998</v>
      </c>
      <c r="C55" s="125"/>
      <c r="D55" s="130" t="s">
        <v>487</v>
      </c>
      <c r="E55" s="161">
        <v>2774681030.7800002</v>
      </c>
      <c r="F55"/>
      <c r="G55" s="283"/>
      <c r="I55" s="310"/>
      <c r="J55" s="318"/>
      <c r="K55" s="362"/>
      <c r="L55" s="321"/>
      <c r="M55" s="318"/>
      <c r="O55" s="348"/>
    </row>
    <row r="56" spans="1:17" ht="15.75" customHeight="1">
      <c r="A56" s="134" t="s">
        <v>451</v>
      </c>
      <c r="B56" s="169">
        <v>3816497362.75</v>
      </c>
      <c r="C56" s="125"/>
      <c r="D56" s="130" t="s">
        <v>466</v>
      </c>
      <c r="E56" s="161">
        <v>13590722484.650005</v>
      </c>
      <c r="F56"/>
      <c r="G56" s="283"/>
      <c r="I56" s="310"/>
      <c r="J56" s="126"/>
      <c r="K56" s="126"/>
      <c r="L56" s="126"/>
      <c r="M56" s="318"/>
      <c r="O56" s="348"/>
    </row>
    <row r="57" spans="1:17" ht="15.75">
      <c r="A57" s="134" t="s">
        <v>452</v>
      </c>
      <c r="B57" s="169">
        <v>3754457.42</v>
      </c>
      <c r="C57" s="125"/>
      <c r="D57" s="105" t="s">
        <v>463</v>
      </c>
      <c r="E57" s="163">
        <v>16915204769.415005</v>
      </c>
      <c r="F57"/>
      <c r="G57" s="283"/>
      <c r="I57" s="310"/>
      <c r="J57" s="126"/>
      <c r="K57" s="126"/>
      <c r="L57" s="126"/>
      <c r="M57" s="318"/>
    </row>
    <row r="58" spans="1:17" ht="15.75">
      <c r="A58" s="134" t="s">
        <v>448</v>
      </c>
      <c r="B58" s="169">
        <v>20143578.940000001</v>
      </c>
      <c r="C58" s="125"/>
      <c r="D58" s="130"/>
      <c r="E58" s="125"/>
      <c r="F58"/>
      <c r="G58" s="283"/>
      <c r="I58" s="310"/>
      <c r="J58" s="100"/>
      <c r="K58" s="100"/>
      <c r="L58" s="100"/>
      <c r="M58" s="318"/>
    </row>
    <row r="59" spans="1:17" ht="15.75">
      <c r="A59" s="134" t="s">
        <v>453</v>
      </c>
      <c r="B59" s="169">
        <v>8443950016.5600004</v>
      </c>
      <c r="C59" s="125"/>
      <c r="D59" s="309"/>
      <c r="E59" s="127"/>
      <c r="F59" s="125"/>
      <c r="G59" s="283"/>
      <c r="I59" s="310"/>
      <c r="J59" s="100"/>
      <c r="K59" s="100"/>
      <c r="L59" s="100"/>
      <c r="M59" s="318"/>
    </row>
    <row r="60" spans="1:17" ht="15.75">
      <c r="A60" s="134" t="s">
        <v>454</v>
      </c>
      <c r="B60" s="169">
        <v>1149983.04</v>
      </c>
      <c r="C60" s="125"/>
      <c r="D60" s="309"/>
      <c r="E60" s="127"/>
      <c r="F60" s="125"/>
      <c r="G60" s="283"/>
      <c r="I60" s="310"/>
      <c r="J60" s="100"/>
      <c r="K60" s="100"/>
      <c r="L60" s="100"/>
      <c r="M60" s="318"/>
    </row>
    <row r="61" spans="1:17" ht="15.75">
      <c r="A61" s="134" t="s">
        <v>455</v>
      </c>
      <c r="B61" s="169">
        <v>373379566.51999998</v>
      </c>
      <c r="C61" s="127"/>
      <c r="D61" s="309"/>
      <c r="E61" s="125"/>
      <c r="F61" s="127"/>
      <c r="G61" s="283"/>
      <c r="I61" s="310"/>
      <c r="J61" s="100"/>
      <c r="K61" s="100"/>
      <c r="L61" s="100"/>
      <c r="M61" s="318"/>
    </row>
    <row r="62" spans="1:17" ht="15.75">
      <c r="A62" s="134" t="s">
        <v>456</v>
      </c>
      <c r="B62" s="169">
        <v>26085169.699999999</v>
      </c>
      <c r="C62" s="127"/>
      <c r="D62" s="128"/>
      <c r="E62" s="128"/>
      <c r="F62" s="127"/>
      <c r="G62" s="283"/>
      <c r="I62" s="310"/>
      <c r="J62" s="100"/>
      <c r="K62" s="100"/>
      <c r="L62" s="100"/>
      <c r="M62" s="100"/>
    </row>
    <row r="63" spans="1:17" ht="15.75">
      <c r="A63" s="134" t="s">
        <v>457</v>
      </c>
      <c r="B63" s="169">
        <v>-617912.64</v>
      </c>
      <c r="C63" s="125"/>
      <c r="E63" s="126"/>
      <c r="F63" s="125"/>
      <c r="G63" s="283"/>
      <c r="I63" s="310"/>
      <c r="J63" s="100"/>
      <c r="K63" s="100"/>
      <c r="L63" s="100"/>
      <c r="M63" s="100"/>
    </row>
    <row r="64" spans="1:17" ht="15.75">
      <c r="A64" s="134" t="s">
        <v>458</v>
      </c>
      <c r="B64" s="169">
        <v>-1129349.56</v>
      </c>
      <c r="C64" s="128"/>
      <c r="D64" s="125"/>
      <c r="E64" s="126"/>
      <c r="F64" s="128"/>
      <c r="G64" s="283"/>
      <c r="I64" s="310"/>
      <c r="J64" s="100"/>
      <c r="K64" s="100"/>
      <c r="L64" s="100"/>
      <c r="M64" s="100"/>
    </row>
    <row r="65" spans="1:14" ht="15" customHeight="1" thickBot="1">
      <c r="A65" s="134" t="s">
        <v>459</v>
      </c>
      <c r="B65" s="169">
        <v>27198468.039999999</v>
      </c>
      <c r="C65" s="125"/>
      <c r="F65" s="126"/>
      <c r="G65" s="283"/>
      <c r="I65" s="289"/>
    </row>
    <row r="66" spans="1:14" ht="16.5" thickBot="1">
      <c r="A66" s="134" t="s">
        <v>460</v>
      </c>
      <c r="B66" s="169">
        <v>0</v>
      </c>
      <c r="C66" s="125"/>
      <c r="F66" s="126"/>
      <c r="G66" s="284" t="s">
        <v>503</v>
      </c>
      <c r="H66" s="350"/>
      <c r="I66" s="288">
        <f>SUM(I42:I65)</f>
        <v>-22446748.042999759</v>
      </c>
    </row>
    <row r="67" spans="1:14" ht="15.75">
      <c r="A67" s="134" t="s">
        <v>500</v>
      </c>
      <c r="B67" s="169">
        <v>2566925.9300000002</v>
      </c>
      <c r="G67" s="127"/>
      <c r="I67" s="100"/>
    </row>
    <row r="68" spans="1:14" ht="16.5" thickBot="1">
      <c r="A68" s="134" t="s">
        <v>461</v>
      </c>
      <c r="B68" s="169">
        <v>301235323.81</v>
      </c>
      <c r="G68" s="125"/>
      <c r="H68" s="100"/>
      <c r="I68" s="100"/>
      <c r="K68" s="5"/>
      <c r="L68" s="5"/>
    </row>
    <row r="69" spans="1:14" ht="16.5" thickBot="1">
      <c r="A69" s="138" t="s">
        <v>468</v>
      </c>
      <c r="B69" s="140" t="s">
        <v>192</v>
      </c>
      <c r="D69" s="156"/>
      <c r="E69"/>
      <c r="G69" s="128"/>
      <c r="H69" s="100"/>
      <c r="I69" s="100"/>
      <c r="K69" s="5"/>
      <c r="L69" s="5"/>
    </row>
    <row r="70" spans="1:14" ht="15.75">
      <c r="A70" s="139" t="s">
        <v>436</v>
      </c>
      <c r="B70" s="141">
        <f>SUM(B42:B51)</f>
        <v>2774681030.7800002</v>
      </c>
      <c r="G70" s="126"/>
    </row>
    <row r="71" spans="1:14" ht="15.75">
      <c r="A71" s="139" t="s">
        <v>466</v>
      </c>
      <c r="B71" s="141">
        <f>SUM(B54:B68)</f>
        <v>13590722484.650005</v>
      </c>
      <c r="E71" s="156"/>
      <c r="F71"/>
      <c r="G71" s="126"/>
      <c r="M71" s="32"/>
      <c r="N71" s="345"/>
    </row>
    <row r="72" spans="1:14" ht="15">
      <c r="A72" s="139" t="s">
        <v>467</v>
      </c>
      <c r="B72" s="141">
        <f>GETPIVOTDATA("Ending 
Balance",$L$4,"Date",DATE(2026,7,27))</f>
        <v>549801253.98499894</v>
      </c>
      <c r="E72"/>
      <c r="F72"/>
      <c r="I72" s="32"/>
      <c r="J72" s="345"/>
      <c r="M72" s="32"/>
      <c r="N72" s="345"/>
    </row>
    <row r="73" spans="1:14" ht="15.75" thickBot="1">
      <c r="A73" s="117"/>
      <c r="B73" s="141"/>
      <c r="D73"/>
      <c r="E73"/>
      <c r="F73"/>
      <c r="I73" s="32"/>
      <c r="J73" s="345"/>
      <c r="M73" s="32"/>
      <c r="N73" s="345"/>
    </row>
    <row r="74" spans="1:14" ht="15.75" thickBot="1">
      <c r="A74" s="137" t="s">
        <v>465</v>
      </c>
      <c r="B74" s="335">
        <f>B70+B71+B72</f>
        <v>16915204769.415005</v>
      </c>
      <c r="D74"/>
      <c r="E74"/>
      <c r="F74"/>
      <c r="I74" s="32"/>
      <c r="J74" s="345"/>
      <c r="M74" s="32"/>
      <c r="N74" s="345"/>
    </row>
    <row r="75" spans="1:14" ht="15">
      <c r="D75"/>
      <c r="E75"/>
      <c r="F75"/>
      <c r="I75" s="32"/>
      <c r="J75" s="345"/>
      <c r="M75" s="32"/>
      <c r="N75" s="345"/>
    </row>
    <row r="76" spans="1:14" ht="15">
      <c r="D76"/>
      <c r="E76"/>
      <c r="G76" s="32"/>
      <c r="H76" s="345"/>
      <c r="I76" s="32"/>
      <c r="J76" s="345"/>
      <c r="M76" s="32"/>
      <c r="N76" s="345"/>
    </row>
    <row r="77" spans="1:14" ht="15.75">
      <c r="A77" s="142" t="s">
        <v>474</v>
      </c>
      <c r="B77" s="162" t="s">
        <v>192</v>
      </c>
      <c r="C77"/>
      <c r="D77" s="142" t="s">
        <v>475</v>
      </c>
      <c r="E77" s="162" t="s">
        <v>192</v>
      </c>
      <c r="G77" s="32"/>
      <c r="H77" s="345"/>
      <c r="I77" s="32"/>
      <c r="J77" s="345"/>
      <c r="M77" s="32"/>
      <c r="N77" s="345"/>
    </row>
    <row r="78" spans="1:14" ht="15">
      <c r="A78" s="361" t="s">
        <v>6851</v>
      </c>
      <c r="B78" s="345">
        <v>90190954.290000007</v>
      </c>
      <c r="D78" s="361" t="s">
        <v>6852</v>
      </c>
      <c r="E78" s="345">
        <v>-57691615.949999996</v>
      </c>
      <c r="F78"/>
      <c r="G78" s="32"/>
      <c r="H78" s="345"/>
      <c r="J78" s="345"/>
      <c r="M78" s="341"/>
      <c r="N78" s="156"/>
    </row>
    <row r="79" spans="1:14" ht="15">
      <c r="A79" s="361" t="s">
        <v>6924</v>
      </c>
      <c r="B79" s="345">
        <v>72505805</v>
      </c>
      <c r="D79" s="361" t="s">
        <v>6903</v>
      </c>
      <c r="E79" s="345">
        <v>-16591258.91</v>
      </c>
      <c r="F79"/>
      <c r="G79" s="32"/>
      <c r="H79" s="345"/>
      <c r="J79" s="345"/>
      <c r="M79" s="341"/>
      <c r="N79" s="156"/>
    </row>
    <row r="80" spans="1:14" ht="15">
      <c r="A80" s="361" t="s">
        <v>6759</v>
      </c>
      <c r="B80" s="345">
        <v>4450676.2300000004</v>
      </c>
      <c r="D80" s="361" t="s">
        <v>6904</v>
      </c>
      <c r="E80" s="345">
        <v>-9127044.129999999</v>
      </c>
      <c r="F80" s="156"/>
      <c r="G80" s="349"/>
      <c r="H80" s="345"/>
      <c r="M80" s="32"/>
      <c r="N80" s="345"/>
    </row>
    <row r="81" spans="1:15" ht="15">
      <c r="A81" s="361"/>
      <c r="B81" s="345"/>
      <c r="D81" s="361" t="s">
        <v>6876</v>
      </c>
      <c r="E81" s="345">
        <v>-7618412.3799999999</v>
      </c>
      <c r="F81" s="156"/>
      <c r="H81" s="345"/>
      <c r="M81" s="32"/>
      <c r="N81" s="345"/>
    </row>
    <row r="82" spans="1:15" ht="14.25" customHeight="1">
      <c r="A82" s="361"/>
      <c r="B82" s="345"/>
      <c r="D82" s="361" t="s">
        <v>6766</v>
      </c>
      <c r="E82" s="345">
        <v>-4300000</v>
      </c>
      <c r="F82"/>
      <c r="M82" s="32"/>
      <c r="N82" s="345"/>
    </row>
    <row r="83" spans="1:15" ht="15">
      <c r="A83" s="361"/>
      <c r="B83" s="345"/>
      <c r="D83" s="361"/>
      <c r="E83" s="345"/>
      <c r="F83"/>
      <c r="M83" s="32"/>
      <c r="N83" s="345"/>
    </row>
    <row r="84" spans="1:15" ht="15">
      <c r="A84" s="361"/>
      <c r="B84" s="345"/>
      <c r="D84" s="361"/>
      <c r="E84" s="345"/>
      <c r="F84"/>
      <c r="M84" s="32"/>
      <c r="N84" s="345"/>
    </row>
    <row r="85" spans="1:15" ht="15">
      <c r="A85" s="361"/>
      <c r="B85" s="345"/>
      <c r="D85" s="361"/>
      <c r="E85" s="345"/>
      <c r="F85"/>
      <c r="G85" s="343" t="s">
        <v>2982</v>
      </c>
      <c r="H85" s="344">
        <f>B72+E87</f>
        <v>454472922.61499894</v>
      </c>
      <c r="I85" s="5"/>
      <c r="J85" s="346"/>
    </row>
    <row r="86" spans="1:15" ht="15">
      <c r="A86" s="31"/>
      <c r="B86" s="164"/>
      <c r="D86" s="32"/>
      <c r="E86" s="345"/>
      <c r="F86"/>
      <c r="G86"/>
      <c r="H86" s="346"/>
    </row>
    <row r="87" spans="1:15" ht="15.75" thickBot="1">
      <c r="A87" s="143" t="s">
        <v>472</v>
      </c>
      <c r="B87" s="332">
        <f>SUM(B78:B86)</f>
        <v>167147435.52000001</v>
      </c>
      <c r="D87" s="144" t="s">
        <v>473</v>
      </c>
      <c r="E87" s="330">
        <f>SUM(E78:E86)</f>
        <v>-95328331.36999999</v>
      </c>
      <c r="G87" s="338" t="s">
        <v>2002</v>
      </c>
      <c r="H87" s="337">
        <f>B72+B87+E87</f>
        <v>621620358.13499892</v>
      </c>
      <c r="M87" s="5"/>
    </row>
    <row r="88" spans="1:15" ht="13.5" thickTop="1">
      <c r="F88"/>
    </row>
    <row r="89" spans="1:15">
      <c r="F89"/>
    </row>
    <row r="90" spans="1:15">
      <c r="F90"/>
      <c r="J90" s="5"/>
    </row>
    <row r="91" spans="1:15" ht="13.5" thickBot="1">
      <c r="F91"/>
      <c r="G91"/>
    </row>
    <row r="92" spans="1:15" ht="13.5" customHeight="1" thickBot="1">
      <c r="A92" s="122" t="s">
        <v>413</v>
      </c>
      <c r="B92" s="122" t="s">
        <v>483</v>
      </c>
      <c r="C92" s="122" t="s">
        <v>485</v>
      </c>
      <c r="D92" s="122" t="s">
        <v>484</v>
      </c>
    </row>
    <row r="93" spans="1:15" ht="15.75" customHeight="1">
      <c r="A93" s="123" t="s">
        <v>414</v>
      </c>
      <c r="B93" s="5">
        <v>10574476021.25</v>
      </c>
      <c r="C93" s="165">
        <v>225338481.27000001</v>
      </c>
      <c r="D93" s="157">
        <f>B93-C93</f>
        <v>10349137539.98</v>
      </c>
      <c r="K93" s="103"/>
      <c r="L93"/>
      <c r="N93" s="102"/>
      <c r="O93"/>
    </row>
    <row r="94" spans="1:15" ht="15.75" customHeight="1">
      <c r="A94" s="124" t="s">
        <v>415</v>
      </c>
      <c r="B94" s="5">
        <v>15776256.42</v>
      </c>
      <c r="C94" s="307">
        <v>0</v>
      </c>
      <c r="D94" s="157">
        <f t="shared" ref="D94:D113" si="0">B94-C94</f>
        <v>15776256.42</v>
      </c>
      <c r="K94" s="103"/>
      <c r="L94"/>
      <c r="N94" s="102"/>
      <c r="O94"/>
    </row>
    <row r="95" spans="1:15" ht="12.75" customHeight="1">
      <c r="A95" s="124" t="s">
        <v>416</v>
      </c>
      <c r="B95" s="5">
        <v>0</v>
      </c>
      <c r="C95" s="307">
        <v>0</v>
      </c>
      <c r="D95" s="157">
        <f t="shared" si="0"/>
        <v>0</v>
      </c>
      <c r="K95" s="103"/>
      <c r="L95"/>
      <c r="N95" s="102"/>
      <c r="O95"/>
    </row>
    <row r="96" spans="1:15">
      <c r="A96" s="124" t="s">
        <v>417</v>
      </c>
      <c r="B96" s="5">
        <v>62229930.950000003</v>
      </c>
      <c r="C96" s="308">
        <v>135987.79999999999</v>
      </c>
      <c r="D96" s="157">
        <f t="shared" si="0"/>
        <v>62093943.150000006</v>
      </c>
      <c r="J96" s="5"/>
      <c r="K96" s="103"/>
      <c r="L96"/>
      <c r="N96" s="102"/>
      <c r="O96"/>
    </row>
    <row r="97" spans="1:15" ht="12.75" customHeight="1" thickBot="1">
      <c r="A97" s="124" t="s">
        <v>418</v>
      </c>
      <c r="B97" s="5">
        <v>45774320.960000001</v>
      </c>
      <c r="C97" s="307">
        <v>0</v>
      </c>
      <c r="D97" s="157">
        <f t="shared" si="0"/>
        <v>45774320.960000001</v>
      </c>
      <c r="K97" s="103"/>
      <c r="L97"/>
      <c r="N97" s="102"/>
      <c r="O97"/>
    </row>
    <row r="98" spans="1:15" ht="15.75" customHeight="1" thickBot="1">
      <c r="A98" s="124" t="s">
        <v>502</v>
      </c>
      <c r="B98" s="5">
        <v>0</v>
      </c>
      <c r="C98" s="307">
        <v>0</v>
      </c>
      <c r="D98" s="157">
        <f t="shared" si="0"/>
        <v>0</v>
      </c>
      <c r="F98" s="290" t="s">
        <v>476</v>
      </c>
      <c r="G98" s="291"/>
      <c r="H98" s="292"/>
      <c r="K98" s="103"/>
      <c r="L98"/>
      <c r="N98" s="102"/>
      <c r="O98"/>
    </row>
    <row r="99" spans="1:15" ht="16.350000000000001" customHeight="1" thickBot="1">
      <c r="A99" s="124" t="s">
        <v>419</v>
      </c>
      <c r="B99" s="5">
        <v>-419130.18</v>
      </c>
      <c r="C99" s="307">
        <v>159356.71</v>
      </c>
      <c r="D99" s="157">
        <f t="shared" si="0"/>
        <v>-578486.89</v>
      </c>
      <c r="F99" s="290" t="s">
        <v>21</v>
      </c>
      <c r="G99" s="291" t="s">
        <v>482</v>
      </c>
      <c r="H99" s="292" t="s">
        <v>192</v>
      </c>
      <c r="K99" s="103"/>
      <c r="L99"/>
      <c r="N99" s="102"/>
      <c r="O99"/>
    </row>
    <row r="100" spans="1:15" ht="13.5" customHeight="1">
      <c r="A100" s="124" t="s">
        <v>420</v>
      </c>
      <c r="B100" s="5">
        <v>373379566.51999998</v>
      </c>
      <c r="C100" s="307">
        <v>0</v>
      </c>
      <c r="D100" s="157">
        <f t="shared" si="0"/>
        <v>373379566.51999998</v>
      </c>
      <c r="F100" s="286">
        <v>101100</v>
      </c>
      <c r="G100" s="287" t="s">
        <v>478</v>
      </c>
      <c r="H100" s="427">
        <v>16806604550.27002</v>
      </c>
      <c r="I100" s="156"/>
      <c r="K100" s="103"/>
      <c r="L100"/>
      <c r="N100" s="102"/>
      <c r="O100"/>
    </row>
    <row r="101" spans="1:15" ht="12.75" customHeight="1">
      <c r="A101" s="124" t="s">
        <v>421</v>
      </c>
      <c r="B101" s="5">
        <v>549801253.87</v>
      </c>
      <c r="C101" s="307">
        <v>549801253.87</v>
      </c>
      <c r="D101" s="157">
        <f t="shared" si="0"/>
        <v>0</v>
      </c>
      <c r="F101" s="286">
        <v>101101</v>
      </c>
      <c r="G101" s="287" t="s">
        <v>479</v>
      </c>
      <c r="H101" s="427">
        <v>106898633.97</v>
      </c>
      <c r="I101" s="104"/>
      <c r="K101" s="103"/>
      <c r="L101"/>
      <c r="N101" s="102"/>
      <c r="O101"/>
    </row>
    <row r="102" spans="1:15" ht="12.75" customHeight="1">
      <c r="A102" s="124" t="s">
        <v>422</v>
      </c>
      <c r="B102" s="5">
        <v>811439316.51999998</v>
      </c>
      <c r="C102" s="307">
        <v>435804592.73000002</v>
      </c>
      <c r="D102" s="157">
        <f t="shared" si="0"/>
        <v>375634723.78999996</v>
      </c>
      <c r="F102" s="286">
        <v>101200</v>
      </c>
      <c r="G102" s="287" t="s">
        <v>480</v>
      </c>
      <c r="H102" s="427">
        <v>715505</v>
      </c>
      <c r="L102"/>
      <c r="N102" s="102"/>
      <c r="O102"/>
    </row>
    <row r="103" spans="1:15" ht="12.75" customHeight="1">
      <c r="A103" s="124" t="s">
        <v>423</v>
      </c>
      <c r="B103" s="5">
        <v>48257444.909999996</v>
      </c>
      <c r="C103" s="307">
        <v>33391086.16</v>
      </c>
      <c r="D103" s="157">
        <f t="shared" si="0"/>
        <v>14866358.749999996</v>
      </c>
      <c r="F103" s="286">
        <v>105100</v>
      </c>
      <c r="G103" s="287" t="s">
        <v>481</v>
      </c>
      <c r="H103" s="427">
        <v>986080</v>
      </c>
      <c r="K103" s="103"/>
      <c r="L103"/>
      <c r="N103" s="102"/>
      <c r="O103"/>
    </row>
    <row r="104" spans="1:15" ht="12.75" customHeight="1">
      <c r="A104" s="124" t="s">
        <v>424</v>
      </c>
      <c r="B104" s="5">
        <v>1131488.2</v>
      </c>
      <c r="C104" s="307">
        <v>1127367.07</v>
      </c>
      <c r="D104" s="157">
        <f t="shared" si="0"/>
        <v>4121.1299999998882</v>
      </c>
      <c r="F104" s="286">
        <v>105200</v>
      </c>
      <c r="G104" s="287" t="s">
        <v>479</v>
      </c>
      <c r="H104" s="146"/>
      <c r="J104" s="104"/>
      <c r="L104"/>
      <c r="O104"/>
    </row>
    <row r="105" spans="1:15" ht="12.75" customHeight="1" thickBot="1">
      <c r="A105" s="124" t="s">
        <v>425</v>
      </c>
      <c r="B105" s="5">
        <v>26723521.059999999</v>
      </c>
      <c r="C105" s="307">
        <v>0</v>
      </c>
      <c r="D105" s="157">
        <f t="shared" si="0"/>
        <v>26723521.059999999</v>
      </c>
      <c r="F105" s="356">
        <v>101500</v>
      </c>
      <c r="G105" s="357" t="s">
        <v>515</v>
      </c>
      <c r="H105" s="360">
        <v>179847909.87</v>
      </c>
      <c r="I105" s="358" t="s">
        <v>4404</v>
      </c>
      <c r="L105"/>
      <c r="O105"/>
    </row>
    <row r="106" spans="1:15" ht="13.5" thickBot="1">
      <c r="A106" s="124" t="s">
        <v>426</v>
      </c>
      <c r="B106" s="5">
        <v>64820029.520000003</v>
      </c>
      <c r="C106" s="307">
        <v>0</v>
      </c>
      <c r="D106" s="157">
        <f t="shared" si="0"/>
        <v>64820029.520000003</v>
      </c>
      <c r="F106" s="147"/>
      <c r="G106" s="148" t="s">
        <v>477</v>
      </c>
      <c r="H106" s="149">
        <f>SUM(H100:H105)</f>
        <v>17095052679.11002</v>
      </c>
      <c r="I106" s="156"/>
      <c r="L106"/>
      <c r="O106"/>
    </row>
    <row r="107" spans="1:15" ht="12.75" customHeight="1" thickTop="1">
      <c r="A107" s="124" t="s">
        <v>427</v>
      </c>
      <c r="B107" s="5">
        <v>11853952.57</v>
      </c>
      <c r="C107" s="307">
        <v>0</v>
      </c>
      <c r="D107" s="157">
        <f t="shared" si="0"/>
        <v>11853952.57</v>
      </c>
      <c r="H107" s="5"/>
      <c r="L107"/>
      <c r="O107"/>
    </row>
    <row r="108" spans="1:15" ht="12.75" customHeight="1">
      <c r="A108" s="124" t="s">
        <v>428</v>
      </c>
      <c r="B108" s="5">
        <v>770194381.46000004</v>
      </c>
      <c r="C108" s="307">
        <v>40978600.950000003</v>
      </c>
      <c r="D108" s="157">
        <f t="shared" si="0"/>
        <v>729215780.50999999</v>
      </c>
      <c r="G108"/>
      <c r="H108" s="103"/>
      <c r="L108"/>
      <c r="O108"/>
    </row>
    <row r="109" spans="1:15" ht="12.75" customHeight="1">
      <c r="A109" s="124" t="s">
        <v>429</v>
      </c>
      <c r="B109" s="5">
        <v>2097505695.3099999</v>
      </c>
      <c r="C109" s="307">
        <v>1506546.99</v>
      </c>
      <c r="D109" s="157">
        <f t="shared" si="0"/>
        <v>2095999148.3199999</v>
      </c>
      <c r="G109"/>
      <c r="L109"/>
      <c r="O109"/>
    </row>
    <row r="110" spans="1:15" ht="12.75" customHeight="1">
      <c r="A110" s="124" t="s">
        <v>430</v>
      </c>
      <c r="B110" s="5">
        <v>198109965.63</v>
      </c>
      <c r="C110" s="307">
        <v>5495853.9500000002</v>
      </c>
      <c r="D110" s="157">
        <f t="shared" si="0"/>
        <v>192614111.68000001</v>
      </c>
      <c r="G110"/>
      <c r="L110"/>
      <c r="O110"/>
    </row>
    <row r="111" spans="1:15" ht="12.75" customHeight="1">
      <c r="A111" s="124" t="s">
        <v>431</v>
      </c>
      <c r="B111" s="5">
        <v>912198090.75</v>
      </c>
      <c r="C111" s="307">
        <v>285836363.81</v>
      </c>
      <c r="D111" s="157">
        <f t="shared" si="0"/>
        <v>626361726.94000006</v>
      </c>
      <c r="G111" s="101" t="s">
        <v>482</v>
      </c>
      <c r="H111" s="156" t="s">
        <v>464</v>
      </c>
      <c r="L111"/>
      <c r="O111"/>
    </row>
    <row r="112" spans="1:15">
      <c r="A112" s="124" t="s">
        <v>432</v>
      </c>
      <c r="B112" s="5">
        <v>138059927.97</v>
      </c>
      <c r="C112" s="307">
        <v>3161.56</v>
      </c>
      <c r="D112" s="157">
        <f t="shared" si="0"/>
        <v>138056766.41</v>
      </c>
      <c r="G112" s="129" t="s">
        <v>478</v>
      </c>
      <c r="H112" s="104">
        <v>16806604550.27002</v>
      </c>
      <c r="L112"/>
      <c r="O112"/>
    </row>
    <row r="113" spans="1:15" ht="13.5" customHeight="1" thickBot="1">
      <c r="A113" s="124" t="s">
        <v>433</v>
      </c>
      <c r="B113" s="5">
        <v>213892735.72999999</v>
      </c>
      <c r="C113" s="307">
        <v>213892735.72999999</v>
      </c>
      <c r="D113" s="157">
        <f t="shared" si="0"/>
        <v>0</v>
      </c>
      <c r="G113" s="129" t="s">
        <v>480</v>
      </c>
      <c r="H113" s="104">
        <v>715505</v>
      </c>
      <c r="L113"/>
      <c r="O113"/>
    </row>
    <row r="114" spans="1:15" ht="16.5" thickBot="1">
      <c r="A114" s="145" t="s">
        <v>463</v>
      </c>
      <c r="B114" s="334">
        <f>SUM(B93:B113)</f>
        <v>16915204769.42</v>
      </c>
      <c r="C114" s="334">
        <f>SUM(C93:C113)</f>
        <v>1793471388.6000001</v>
      </c>
      <c r="D114" s="334">
        <f>SUM(D93:D113)</f>
        <v>15121733380.82</v>
      </c>
      <c r="G114" s="129" t="s">
        <v>481</v>
      </c>
      <c r="H114" s="104">
        <v>986080</v>
      </c>
      <c r="L114"/>
      <c r="O114"/>
    </row>
    <row r="115" spans="1:15" ht="13.5" thickTop="1">
      <c r="G115" s="129" t="s">
        <v>479</v>
      </c>
      <c r="H115" s="104">
        <v>106898633.97</v>
      </c>
      <c r="L115"/>
      <c r="O115"/>
    </row>
    <row r="116" spans="1:15">
      <c r="G116" s="129" t="s">
        <v>515</v>
      </c>
      <c r="H116" s="104">
        <v>179847909.87</v>
      </c>
      <c r="L116"/>
      <c r="O116"/>
    </row>
    <row r="117" spans="1:15">
      <c r="A117" s="101" t="s">
        <v>486</v>
      </c>
      <c r="B117" t="s">
        <v>494</v>
      </c>
      <c r="C117" t="s">
        <v>495</v>
      </c>
      <c r="D117" t="s">
        <v>496</v>
      </c>
      <c r="G117" s="129" t="s">
        <v>463</v>
      </c>
      <c r="H117" s="104">
        <v>17095052679.11002</v>
      </c>
      <c r="I117" s="5"/>
      <c r="L117"/>
      <c r="O117"/>
    </row>
    <row r="118" spans="1:15">
      <c r="A118" s="129" t="s">
        <v>414</v>
      </c>
      <c r="B118" s="156">
        <v>10574476021.25</v>
      </c>
      <c r="C118" s="104">
        <v>225338481.27000001</v>
      </c>
      <c r="D118" s="156">
        <v>10349137539.98</v>
      </c>
      <c r="G118"/>
      <c r="L118"/>
      <c r="O118"/>
    </row>
    <row r="119" spans="1:15">
      <c r="A119" s="129" t="s">
        <v>418</v>
      </c>
      <c r="B119" s="156">
        <v>45774320.960000001</v>
      </c>
      <c r="C119" s="104">
        <v>0</v>
      </c>
      <c r="D119" s="156">
        <v>45774320.960000001</v>
      </c>
      <c r="G119" s="5">
        <f>B74-B114</f>
        <v>-4.9953460693359375E-3</v>
      </c>
      <c r="L119"/>
      <c r="O119"/>
    </row>
    <row r="120" spans="1:15">
      <c r="A120" s="129" t="s">
        <v>415</v>
      </c>
      <c r="B120" s="156">
        <v>15776256.42</v>
      </c>
      <c r="C120" s="104">
        <v>0</v>
      </c>
      <c r="D120" s="156">
        <v>15776256.42</v>
      </c>
      <c r="G120" s="156"/>
      <c r="H120" s="359"/>
      <c r="L120"/>
      <c r="O120"/>
    </row>
    <row r="121" spans="1:15" hidden="1">
      <c r="A121" s="129" t="s">
        <v>417</v>
      </c>
      <c r="B121" s="156">
        <v>62229930.950000003</v>
      </c>
      <c r="C121" s="104">
        <v>135987.79999999999</v>
      </c>
      <c r="D121" s="156">
        <v>62093943.150000006</v>
      </c>
      <c r="G121"/>
    </row>
    <row r="122" spans="1:15">
      <c r="A122" s="129" t="s">
        <v>502</v>
      </c>
      <c r="B122" s="156">
        <v>0</v>
      </c>
      <c r="C122" s="104">
        <v>0</v>
      </c>
      <c r="D122" s="156">
        <v>0</v>
      </c>
      <c r="G122" s="104"/>
    </row>
    <row r="123" spans="1:15">
      <c r="A123" s="129" t="s">
        <v>419</v>
      </c>
      <c r="B123" s="156">
        <v>-419130.18</v>
      </c>
      <c r="C123" s="104">
        <v>159356.71</v>
      </c>
      <c r="D123" s="156">
        <v>-578486.89</v>
      </c>
      <c r="H123" s="5"/>
    </row>
    <row r="124" spans="1:15" hidden="1">
      <c r="A124" s="129" t="s">
        <v>420</v>
      </c>
      <c r="B124" s="156">
        <v>373379566.51999998</v>
      </c>
      <c r="C124" s="104">
        <v>0</v>
      </c>
      <c r="D124" s="156">
        <v>373379566.51999998</v>
      </c>
      <c r="G124"/>
      <c r="H124" s="156"/>
    </row>
    <row r="125" spans="1:15">
      <c r="A125" s="129" t="s">
        <v>416</v>
      </c>
      <c r="B125" s="156">
        <v>0</v>
      </c>
      <c r="C125" s="104">
        <v>0</v>
      </c>
      <c r="D125" s="156">
        <v>0</v>
      </c>
      <c r="G125"/>
    </row>
    <row r="126" spans="1:15">
      <c r="A126" s="129" t="s">
        <v>421</v>
      </c>
      <c r="B126" s="156">
        <v>549801253.87</v>
      </c>
      <c r="C126" s="104">
        <v>549801253.87</v>
      </c>
      <c r="D126" s="156">
        <v>0</v>
      </c>
      <c r="G126"/>
      <c r="I126" s="5"/>
    </row>
    <row r="127" spans="1:15">
      <c r="A127" s="129" t="s">
        <v>422</v>
      </c>
      <c r="B127" s="156">
        <v>811439316.51999998</v>
      </c>
      <c r="C127" s="104">
        <v>435804592.73000002</v>
      </c>
      <c r="D127" s="156">
        <v>375634723.78999996</v>
      </c>
      <c r="G127"/>
    </row>
    <row r="128" spans="1:15">
      <c r="A128" s="129" t="s">
        <v>423</v>
      </c>
      <c r="B128" s="156">
        <v>48257444.909999996</v>
      </c>
      <c r="C128" s="104">
        <v>33391086.16</v>
      </c>
      <c r="D128" s="156">
        <v>14866358.749999996</v>
      </c>
    </row>
    <row r="129" spans="1:4">
      <c r="A129" s="129" t="s">
        <v>424</v>
      </c>
      <c r="B129" s="156">
        <v>1131488.2</v>
      </c>
      <c r="C129" s="104">
        <v>1127367.07</v>
      </c>
      <c r="D129" s="156">
        <v>4121.1299999998882</v>
      </c>
    </row>
    <row r="130" spans="1:4">
      <c r="A130" s="129" t="s">
        <v>425</v>
      </c>
      <c r="B130" s="156">
        <v>26723521.059999999</v>
      </c>
      <c r="C130" s="104">
        <v>0</v>
      </c>
      <c r="D130" s="156">
        <v>26723521.059999999</v>
      </c>
    </row>
    <row r="131" spans="1:4">
      <c r="A131" s="129" t="s">
        <v>427</v>
      </c>
      <c r="B131" s="156">
        <v>11853952.57</v>
      </c>
      <c r="C131" s="104">
        <v>0</v>
      </c>
      <c r="D131" s="156">
        <v>11853952.57</v>
      </c>
    </row>
    <row r="132" spans="1:4">
      <c r="A132" s="129" t="s">
        <v>426</v>
      </c>
      <c r="B132" s="156">
        <v>64820029.520000003</v>
      </c>
      <c r="C132" s="104">
        <v>0</v>
      </c>
      <c r="D132" s="156">
        <v>64820029.520000003</v>
      </c>
    </row>
    <row r="133" spans="1:4">
      <c r="A133" s="129" t="s">
        <v>428</v>
      </c>
      <c r="B133" s="156">
        <v>770194381.46000004</v>
      </c>
      <c r="C133" s="104">
        <v>40978600.950000003</v>
      </c>
      <c r="D133" s="156">
        <v>729215780.50999999</v>
      </c>
    </row>
    <row r="134" spans="1:4">
      <c r="A134" s="129" t="s">
        <v>429</v>
      </c>
      <c r="B134" s="156">
        <v>2097505695.3099999</v>
      </c>
      <c r="C134" s="104">
        <v>1506546.99</v>
      </c>
      <c r="D134" s="156">
        <v>2095999148.3199999</v>
      </c>
    </row>
    <row r="135" spans="1:4">
      <c r="A135" s="129" t="s">
        <v>430</v>
      </c>
      <c r="B135" s="156">
        <v>198109965.63</v>
      </c>
      <c r="C135" s="104">
        <v>5495853.9500000002</v>
      </c>
      <c r="D135" s="156">
        <v>192614111.68000001</v>
      </c>
    </row>
    <row r="136" spans="1:4" ht="12.75" hidden="1" customHeight="1">
      <c r="A136" s="129" t="s">
        <v>431</v>
      </c>
      <c r="B136" s="156">
        <v>912198090.75</v>
      </c>
      <c r="C136" s="104">
        <v>285836363.81</v>
      </c>
      <c r="D136" s="156">
        <v>626361726.94000006</v>
      </c>
    </row>
    <row r="137" spans="1:4">
      <c r="A137" s="129" t="s">
        <v>433</v>
      </c>
      <c r="B137" s="156">
        <v>213892735.72999999</v>
      </c>
      <c r="C137" s="104">
        <v>213892735.72999999</v>
      </c>
      <c r="D137" s="156">
        <v>0</v>
      </c>
    </row>
    <row r="138" spans="1:4">
      <c r="A138" s="129" t="s">
        <v>432</v>
      </c>
      <c r="B138" s="156">
        <v>138059927.97</v>
      </c>
      <c r="C138" s="104">
        <v>3161.56</v>
      </c>
      <c r="D138" s="156">
        <v>138056766.41</v>
      </c>
    </row>
    <row r="139" spans="1:4">
      <c r="A139" s="129" t="s">
        <v>463</v>
      </c>
      <c r="B139" s="104">
        <v>16915204769.42</v>
      </c>
      <c r="C139" s="104">
        <v>1793471388.6000001</v>
      </c>
      <c r="D139" s="104">
        <v>15121733380.82</v>
      </c>
    </row>
    <row r="140" spans="1:4">
      <c r="B140"/>
      <c r="C140"/>
      <c r="D140"/>
    </row>
    <row r="146" spans="10:10">
      <c r="J146" s="165"/>
    </row>
    <row r="147" spans="10:10">
      <c r="J147" s="165"/>
    </row>
    <row r="148" spans="10:10">
      <c r="J148" s="165"/>
    </row>
    <row r="149" spans="10:10">
      <c r="J149" s="165"/>
    </row>
    <row r="150" spans="10:10">
      <c r="J150" s="165"/>
    </row>
    <row r="152" spans="10:10">
      <c r="J152" s="165"/>
    </row>
    <row r="153" spans="10:10">
      <c r="J153" s="165"/>
    </row>
  </sheetData>
  <sheetProtection formatCells="0" formatColumns="0" formatRows="0" insertColumns="0" insertRows="0" insertHyperlinks="0" deleteColumns="0" deleteRows="0" sort="0" autoFilter="0" pivotTables="0"/>
  <sortState xmlns:xlrd2="http://schemas.microsoft.com/office/spreadsheetml/2017/richdata2" ref="J42:L54">
    <sortCondition ref="L42:L54"/>
  </sortState>
  <phoneticPr fontId="96" type="noConversion"/>
  <pageMargins left="0.7" right="0.7" top="0.75" bottom="0.75" header="0.3" footer="0.3"/>
  <pageSetup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Q695"/>
  <sheetViews>
    <sheetView zoomScale="120" zoomScaleNormal="120" workbookViewId="0">
      <pane ySplit="1" topLeftCell="A664" activePane="bottomLeft" state="frozen"/>
      <selection activeCell="D64" sqref="D64"/>
      <selection pane="bottomLeft" activeCell="K695" sqref="K695"/>
    </sheetView>
  </sheetViews>
  <sheetFormatPr defaultColWidth="9.140625" defaultRowHeight="11.25"/>
  <cols>
    <col min="1" max="1" width="7" style="25" customWidth="1"/>
    <col min="2" max="2" width="11.140625" style="28" bestFit="1" customWidth="1"/>
    <col min="3" max="4" width="13.5703125" style="29" bestFit="1" customWidth="1"/>
    <col min="5" max="5" width="12.85546875" style="29" bestFit="1" customWidth="1"/>
    <col min="6" max="6" width="15.140625" style="29" bestFit="1" customWidth="1"/>
    <col min="7" max="7" width="15.140625" style="30" bestFit="1" customWidth="1"/>
    <col min="8" max="8" width="5.140625" style="26" bestFit="1" customWidth="1"/>
    <col min="9" max="9" width="5.140625" style="26" customWidth="1"/>
    <col min="10" max="10" width="16.140625" style="29" bestFit="1" customWidth="1"/>
    <col min="11" max="11" width="13.85546875" style="29" bestFit="1" customWidth="1"/>
    <col min="12" max="12" width="12" style="25" bestFit="1" customWidth="1"/>
    <col min="13" max="13" width="12.85546875" style="25" bestFit="1" customWidth="1"/>
    <col min="14" max="14" width="16.140625" style="25" customWidth="1"/>
    <col min="15" max="16384" width="9.140625" style="25"/>
  </cols>
  <sheetData>
    <row r="1" spans="1:9" ht="22.5">
      <c r="A1" s="21" t="s">
        <v>23</v>
      </c>
      <c r="B1" s="22" t="s">
        <v>0</v>
      </c>
      <c r="C1" s="23" t="s">
        <v>335</v>
      </c>
      <c r="D1" s="23" t="s">
        <v>1</v>
      </c>
      <c r="E1" s="23" t="s">
        <v>2</v>
      </c>
      <c r="F1" s="23" t="s">
        <v>3</v>
      </c>
      <c r="G1" s="22" t="s">
        <v>4</v>
      </c>
      <c r="H1" s="24" t="s">
        <v>17</v>
      </c>
      <c r="I1" s="24"/>
    </row>
    <row r="2" spans="1:9">
      <c r="A2" s="27">
        <v>45537</v>
      </c>
      <c r="B2" s="28">
        <v>206563751.58499897</v>
      </c>
      <c r="C2" s="29">
        <v>0</v>
      </c>
      <c r="D2" s="29">
        <v>0</v>
      </c>
      <c r="E2" s="29">
        <v>0</v>
      </c>
      <c r="F2" s="29">
        <v>0</v>
      </c>
      <c r="G2" s="30">
        <v>206563751.58499897</v>
      </c>
    </row>
    <row r="3" spans="1:9">
      <c r="A3" s="27">
        <v>45538</v>
      </c>
      <c r="B3" s="28">
        <f t="shared" ref="B3:B5" si="0">G2</f>
        <v>206563751.58499897</v>
      </c>
      <c r="C3" s="29">
        <v>-7403358.2300000004</v>
      </c>
      <c r="D3" s="29">
        <v>44974584.039999999</v>
      </c>
      <c r="E3" s="29">
        <v>380612.75</v>
      </c>
      <c r="F3" s="29">
        <v>-733196.05</v>
      </c>
      <c r="G3" s="30">
        <f t="shared" ref="G3:G64" si="1">SUM(B3:F3)</f>
        <v>243782394.09499896</v>
      </c>
      <c r="H3" s="26" t="s">
        <v>1587</v>
      </c>
    </row>
    <row r="4" spans="1:9">
      <c r="A4" s="27">
        <v>45539</v>
      </c>
      <c r="B4" s="28">
        <f t="shared" si="0"/>
        <v>243782394.09499896</v>
      </c>
      <c r="C4" s="29">
        <v>-479278.47</v>
      </c>
      <c r="D4" s="29">
        <v>15009576.220000001</v>
      </c>
      <c r="E4" s="29">
        <v>38653420.270000003</v>
      </c>
      <c r="F4" s="29">
        <v>-452354.8</v>
      </c>
      <c r="G4" s="30">
        <f t="shared" si="1"/>
        <v>296513757.31499892</v>
      </c>
      <c r="H4" s="26" t="s">
        <v>1596</v>
      </c>
    </row>
    <row r="5" spans="1:9">
      <c r="A5" s="27">
        <v>45540</v>
      </c>
      <c r="B5" s="28">
        <f t="shared" si="0"/>
        <v>296513757.31499892</v>
      </c>
      <c r="C5" s="29">
        <v>-1035331.53</v>
      </c>
      <c r="D5" s="29">
        <v>2435231.11</v>
      </c>
      <c r="E5" s="29">
        <v>31108888.789999999</v>
      </c>
      <c r="F5" s="29">
        <v>-159438.09</v>
      </c>
      <c r="G5" s="30">
        <f t="shared" si="1"/>
        <v>328863107.59499902</v>
      </c>
      <c r="H5" s="26" t="s">
        <v>1605</v>
      </c>
    </row>
    <row r="6" spans="1:9">
      <c r="A6" s="27">
        <v>45541</v>
      </c>
      <c r="B6" s="28">
        <f t="shared" ref="B6" si="2">G5</f>
        <v>328863107.59499902</v>
      </c>
      <c r="C6" s="29">
        <v>-3718662.899999999</v>
      </c>
      <c r="D6" s="29">
        <v>2633286.4400000004</v>
      </c>
      <c r="E6" s="29">
        <v>29883888.849999994</v>
      </c>
      <c r="F6" s="29">
        <v>-6216195.3900000006</v>
      </c>
      <c r="G6" s="30">
        <f t="shared" si="1"/>
        <v>351445424.59499907</v>
      </c>
      <c r="H6" s="26" t="s">
        <v>1613</v>
      </c>
    </row>
    <row r="7" spans="1:9">
      <c r="A7" s="27">
        <v>45542</v>
      </c>
      <c r="B7" s="28">
        <f t="shared" ref="B7:B9" si="3">G6</f>
        <v>351445424.59499907</v>
      </c>
      <c r="C7" s="29">
        <v>-2267383.459999999</v>
      </c>
      <c r="D7" s="29">
        <v>789703.35</v>
      </c>
      <c r="E7" s="29">
        <v>0</v>
      </c>
      <c r="F7" s="29">
        <v>0</v>
      </c>
      <c r="G7" s="30">
        <f t="shared" si="1"/>
        <v>349967744.48499912</v>
      </c>
    </row>
    <row r="8" spans="1:9">
      <c r="A8" s="27">
        <v>45543</v>
      </c>
      <c r="B8" s="28">
        <f t="shared" si="3"/>
        <v>349967744.48499912</v>
      </c>
      <c r="C8" s="29">
        <v>0</v>
      </c>
      <c r="D8" s="29">
        <v>0</v>
      </c>
      <c r="E8" s="29">
        <v>0</v>
      </c>
      <c r="F8" s="29">
        <v>0</v>
      </c>
      <c r="G8" s="30">
        <f t="shared" si="1"/>
        <v>349967744.48499912</v>
      </c>
    </row>
    <row r="9" spans="1:9">
      <c r="A9" s="27">
        <v>45544</v>
      </c>
      <c r="B9" s="28">
        <f t="shared" si="3"/>
        <v>349967744.48499912</v>
      </c>
      <c r="C9" s="29">
        <v>0</v>
      </c>
      <c r="D9" s="29">
        <v>0</v>
      </c>
      <c r="E9" s="29">
        <v>0</v>
      </c>
      <c r="F9" s="29">
        <v>0</v>
      </c>
      <c r="G9" s="30">
        <f t="shared" si="1"/>
        <v>349967744.48499912</v>
      </c>
    </row>
    <row r="10" spans="1:9">
      <c r="A10" s="27">
        <v>45545</v>
      </c>
      <c r="B10" s="28">
        <f t="shared" ref="B10:B19" si="4">G9</f>
        <v>349967744.48499912</v>
      </c>
      <c r="C10" s="29">
        <v>-3110469.8</v>
      </c>
      <c r="D10" s="29">
        <v>4166032.75</v>
      </c>
      <c r="E10" s="29">
        <v>430891.72</v>
      </c>
      <c r="F10" s="29">
        <v>-39732321.469999999</v>
      </c>
      <c r="G10" s="30">
        <f t="shared" si="1"/>
        <v>311721877.68499911</v>
      </c>
      <c r="H10" s="26" t="s">
        <v>1626</v>
      </c>
    </row>
    <row r="11" spans="1:9">
      <c r="A11" s="27">
        <v>45546</v>
      </c>
      <c r="B11" s="28">
        <f t="shared" si="4"/>
        <v>311721877.68499911</v>
      </c>
      <c r="C11" s="29">
        <v>-7357181.0999999996</v>
      </c>
      <c r="D11" s="29">
        <v>4146347.07</v>
      </c>
      <c r="E11" s="29">
        <v>91329.26</v>
      </c>
      <c r="F11" s="29">
        <v>-20000570.48</v>
      </c>
      <c r="G11" s="30">
        <f t="shared" si="1"/>
        <v>288601802.43499905</v>
      </c>
      <c r="H11" s="26" t="s">
        <v>1636</v>
      </c>
    </row>
    <row r="12" spans="1:9">
      <c r="A12" s="27">
        <v>45547</v>
      </c>
      <c r="B12" s="28">
        <f t="shared" si="4"/>
        <v>288601802.43499905</v>
      </c>
      <c r="C12" s="29">
        <v>-2506717.12</v>
      </c>
      <c r="D12" s="29">
        <v>4231428.29</v>
      </c>
      <c r="E12" s="29">
        <v>560887.25</v>
      </c>
      <c r="F12" s="29">
        <v>-74572765.280000001</v>
      </c>
      <c r="G12" s="30">
        <f t="shared" si="1"/>
        <v>216314635.57499906</v>
      </c>
      <c r="H12" s="26" t="s">
        <v>1650</v>
      </c>
    </row>
    <row r="13" spans="1:9">
      <c r="A13" s="27">
        <v>45548</v>
      </c>
      <c r="B13" s="28">
        <f t="shared" si="4"/>
        <v>216314635.57499906</v>
      </c>
      <c r="C13" s="29">
        <v>-9757439.6600000001</v>
      </c>
      <c r="D13" s="29">
        <v>1766972.27</v>
      </c>
      <c r="E13" s="29">
        <v>119564.74</v>
      </c>
      <c r="F13" s="29">
        <v>-2185066.86</v>
      </c>
      <c r="G13" s="30">
        <f t="shared" si="1"/>
        <v>206258666.06499907</v>
      </c>
      <c r="H13" s="26" t="s">
        <v>1658</v>
      </c>
    </row>
    <row r="14" spans="1:9">
      <c r="A14" s="27">
        <v>45549</v>
      </c>
      <c r="B14" s="28">
        <f t="shared" si="4"/>
        <v>206258666.06499907</v>
      </c>
      <c r="C14" s="29">
        <v>0</v>
      </c>
      <c r="D14" s="29">
        <v>0</v>
      </c>
      <c r="E14" s="29">
        <v>0</v>
      </c>
      <c r="F14" s="29">
        <v>0</v>
      </c>
      <c r="G14" s="30">
        <f t="shared" si="1"/>
        <v>206258666.06499907</v>
      </c>
    </row>
    <row r="15" spans="1:9">
      <c r="A15" s="27">
        <v>45550</v>
      </c>
      <c r="B15" s="28">
        <f t="shared" si="4"/>
        <v>206258666.06499907</v>
      </c>
      <c r="C15" s="29">
        <v>0</v>
      </c>
      <c r="D15" s="29">
        <v>0</v>
      </c>
      <c r="E15" s="29">
        <v>0</v>
      </c>
      <c r="F15" s="29">
        <v>0</v>
      </c>
      <c r="G15" s="30">
        <f t="shared" si="1"/>
        <v>206258666.06499907</v>
      </c>
    </row>
    <row r="16" spans="1:9">
      <c r="A16" s="27">
        <v>45551</v>
      </c>
      <c r="B16" s="28">
        <f t="shared" si="4"/>
        <v>206258666.06499907</v>
      </c>
      <c r="C16" s="29">
        <v>-1490584.11</v>
      </c>
      <c r="D16" s="29">
        <v>658528.79</v>
      </c>
      <c r="E16" s="29">
        <v>383962.9</v>
      </c>
      <c r="F16" s="29">
        <v>-637073.49</v>
      </c>
      <c r="G16" s="30">
        <f t="shared" si="1"/>
        <v>205173500.15499905</v>
      </c>
    </row>
    <row r="17" spans="1:8">
      <c r="A17" s="27">
        <v>45552</v>
      </c>
      <c r="B17" s="28">
        <f t="shared" si="4"/>
        <v>205173500.15499905</v>
      </c>
      <c r="C17" s="29">
        <v>-1949026.79</v>
      </c>
      <c r="D17" s="29">
        <v>-93649.78</v>
      </c>
      <c r="E17" s="29">
        <v>472961.79</v>
      </c>
      <c r="F17" s="29">
        <v>-4140098.84</v>
      </c>
      <c r="G17" s="30">
        <f t="shared" si="1"/>
        <v>199463686.53499904</v>
      </c>
      <c r="H17" s="26" t="s">
        <v>1665</v>
      </c>
    </row>
    <row r="18" spans="1:8">
      <c r="A18" s="27">
        <v>45553</v>
      </c>
      <c r="B18" s="28">
        <f t="shared" si="4"/>
        <v>199463686.53499904</v>
      </c>
      <c r="C18" s="29">
        <v>-2337627.08</v>
      </c>
      <c r="D18" s="29">
        <v>818077.97</v>
      </c>
      <c r="E18" s="29">
        <v>150919.01999999999</v>
      </c>
      <c r="F18" s="29">
        <v>-1572310.25</v>
      </c>
      <c r="G18" s="30">
        <f t="shared" si="1"/>
        <v>196522746.19499904</v>
      </c>
      <c r="H18" s="26" t="s">
        <v>1668</v>
      </c>
    </row>
    <row r="19" spans="1:8">
      <c r="A19" s="27">
        <v>45554</v>
      </c>
      <c r="B19" s="28">
        <f t="shared" si="4"/>
        <v>196522746.19499904</v>
      </c>
      <c r="C19" s="29">
        <v>-1052435.69</v>
      </c>
      <c r="D19" s="29">
        <v>5090065.8600000003</v>
      </c>
      <c r="E19" s="29">
        <v>1252655.6299999999</v>
      </c>
      <c r="F19" s="29">
        <v>-28732390.390000001</v>
      </c>
      <c r="G19" s="30">
        <f t="shared" si="1"/>
        <v>173080641.60499907</v>
      </c>
      <c r="H19" s="26" t="s">
        <v>1670</v>
      </c>
    </row>
    <row r="20" spans="1:8">
      <c r="A20" s="27">
        <v>45555</v>
      </c>
      <c r="B20" s="28">
        <f t="shared" ref="B20:B23" si="5">G19</f>
        <v>173080641.60499907</v>
      </c>
      <c r="C20" s="29">
        <v>-2521367.2100000004</v>
      </c>
      <c r="D20" s="29">
        <v>9221033.25</v>
      </c>
      <c r="E20" s="29">
        <v>230667.51999999996</v>
      </c>
      <c r="F20" s="29">
        <v>-326719.62</v>
      </c>
      <c r="G20" s="30">
        <f t="shared" si="1"/>
        <v>179684255.54499906</v>
      </c>
      <c r="H20" s="26" t="s">
        <v>1677</v>
      </c>
    </row>
    <row r="21" spans="1:8">
      <c r="A21" s="27">
        <v>45556</v>
      </c>
      <c r="B21" s="28">
        <f t="shared" si="5"/>
        <v>179684255.54499906</v>
      </c>
      <c r="C21" s="29">
        <v>0</v>
      </c>
      <c r="D21" s="29">
        <v>0</v>
      </c>
      <c r="E21" s="29">
        <v>0</v>
      </c>
      <c r="F21" s="29">
        <v>0</v>
      </c>
      <c r="G21" s="30">
        <f t="shared" si="1"/>
        <v>179684255.54499906</v>
      </c>
    </row>
    <row r="22" spans="1:8">
      <c r="A22" s="27">
        <v>45557</v>
      </c>
      <c r="B22" s="28">
        <f t="shared" si="5"/>
        <v>179684255.54499906</v>
      </c>
      <c r="C22" s="29">
        <v>0</v>
      </c>
      <c r="D22" s="29">
        <v>0</v>
      </c>
      <c r="E22" s="29">
        <v>0</v>
      </c>
      <c r="F22" s="29">
        <v>0</v>
      </c>
      <c r="G22" s="30">
        <f t="shared" si="1"/>
        <v>179684255.54499906</v>
      </c>
    </row>
    <row r="23" spans="1:8">
      <c r="A23" s="27">
        <v>45558</v>
      </c>
      <c r="B23" s="28">
        <f t="shared" si="5"/>
        <v>179684255.54499906</v>
      </c>
      <c r="C23" s="29">
        <v>-1255493.25</v>
      </c>
      <c r="D23" s="29">
        <v>922772.81</v>
      </c>
      <c r="E23" s="29">
        <v>0</v>
      </c>
      <c r="F23" s="29">
        <v>0</v>
      </c>
      <c r="G23" s="30">
        <f t="shared" si="1"/>
        <v>179351535.10499907</v>
      </c>
    </row>
    <row r="24" spans="1:8">
      <c r="A24" s="27">
        <v>45559</v>
      </c>
      <c r="B24" s="28">
        <f t="shared" ref="B24" si="6">G23</f>
        <v>179351535.10499907</v>
      </c>
      <c r="C24" s="29">
        <v>-2271556.850000001</v>
      </c>
      <c r="D24" s="29">
        <v>13193450.499999998</v>
      </c>
      <c r="E24" s="29">
        <v>22544280.960000005</v>
      </c>
      <c r="F24" s="29">
        <v>-83344854.640000001</v>
      </c>
      <c r="G24" s="30">
        <f t="shared" si="1"/>
        <v>129472855.07499908</v>
      </c>
      <c r="H24" s="26" t="s">
        <v>1684</v>
      </c>
    </row>
    <row r="25" spans="1:8">
      <c r="A25" s="27">
        <v>45560</v>
      </c>
      <c r="B25" s="28">
        <f t="shared" ref="B25" si="7">G24</f>
        <v>129472855.07499908</v>
      </c>
      <c r="C25" s="29">
        <v>-3584136.62</v>
      </c>
      <c r="D25" s="29">
        <v>16036463.969999997</v>
      </c>
      <c r="E25" s="29">
        <v>64387018.780000009</v>
      </c>
      <c r="F25" s="29">
        <v>-10384342.689999999</v>
      </c>
      <c r="G25" s="30">
        <f t="shared" si="1"/>
        <v>195927858.51499906</v>
      </c>
      <c r="H25" s="26" t="s">
        <v>1695</v>
      </c>
    </row>
    <row r="26" spans="1:8">
      <c r="A26" s="27">
        <v>45561</v>
      </c>
      <c r="B26" s="28">
        <f t="shared" ref="B26:B27" si="8">G25</f>
        <v>195927858.51499906</v>
      </c>
      <c r="C26" s="29">
        <v>-3557909.0699999984</v>
      </c>
      <c r="D26" s="29">
        <v>69679557.029999986</v>
      </c>
      <c r="E26" s="29">
        <v>2529601.3899999997</v>
      </c>
      <c r="F26" s="29">
        <v>-2453147.7800000003</v>
      </c>
      <c r="G26" s="30">
        <f t="shared" si="1"/>
        <v>262125960.08499905</v>
      </c>
      <c r="H26" s="26" t="s">
        <v>1707</v>
      </c>
    </row>
    <row r="27" spans="1:8">
      <c r="A27" s="27">
        <v>45562</v>
      </c>
      <c r="B27" s="28">
        <f t="shared" si="8"/>
        <v>262125960.08499905</v>
      </c>
      <c r="C27" s="29">
        <v>-1635392.13</v>
      </c>
      <c r="D27" s="29">
        <v>5450753.5700000003</v>
      </c>
      <c r="E27" s="29">
        <v>3976260.37</v>
      </c>
      <c r="F27" s="29">
        <v>-3335852.41</v>
      </c>
      <c r="G27" s="30">
        <f t="shared" si="1"/>
        <v>266581729.48499903</v>
      </c>
      <c r="H27" s="26" t="s">
        <v>1726</v>
      </c>
    </row>
    <row r="28" spans="1:8">
      <c r="A28" s="27">
        <v>45563</v>
      </c>
      <c r="B28" s="28">
        <f t="shared" ref="B28:B30" si="9">G27</f>
        <v>266581729.48499903</v>
      </c>
      <c r="C28" s="29">
        <v>0</v>
      </c>
      <c r="D28" s="29">
        <v>0</v>
      </c>
      <c r="E28" s="29">
        <v>0</v>
      </c>
      <c r="F28" s="29">
        <v>0</v>
      </c>
      <c r="G28" s="30">
        <f t="shared" si="1"/>
        <v>266581729.48499903</v>
      </c>
    </row>
    <row r="29" spans="1:8">
      <c r="A29" s="27">
        <v>45564</v>
      </c>
      <c r="B29" s="28">
        <f t="shared" si="9"/>
        <v>266581729.48499903</v>
      </c>
      <c r="C29" s="29">
        <v>0</v>
      </c>
      <c r="D29" s="29">
        <v>0</v>
      </c>
      <c r="E29" s="29">
        <v>0</v>
      </c>
      <c r="F29" s="29">
        <v>0</v>
      </c>
      <c r="G29" s="30">
        <f t="shared" si="1"/>
        <v>266581729.48499903</v>
      </c>
    </row>
    <row r="30" spans="1:8">
      <c r="A30" s="27">
        <v>45565</v>
      </c>
      <c r="B30" s="28">
        <f t="shared" si="9"/>
        <v>266581729.48499903</v>
      </c>
      <c r="C30" s="29">
        <v>-2682908.2799999998</v>
      </c>
      <c r="D30" s="29">
        <v>3407145.59</v>
      </c>
      <c r="E30" s="29">
        <v>80291328.840000004</v>
      </c>
      <c r="F30" s="29">
        <v>-15370645.58</v>
      </c>
      <c r="G30" s="30">
        <f t="shared" si="1"/>
        <v>332226650.05499905</v>
      </c>
      <c r="H30" s="26" t="s">
        <v>1734</v>
      </c>
    </row>
    <row r="31" spans="1:8">
      <c r="A31" s="27">
        <v>45566</v>
      </c>
      <c r="B31" s="28">
        <f t="shared" ref="B31" si="10">G30</f>
        <v>332226650.05499905</v>
      </c>
      <c r="C31" s="29">
        <v>-1500397.5799999996</v>
      </c>
      <c r="D31" s="29">
        <v>1466114.5100000002</v>
      </c>
      <c r="E31" s="29">
        <v>29292095.989999998</v>
      </c>
      <c r="F31" s="29">
        <v>-4894832.46</v>
      </c>
      <c r="G31" s="30">
        <f t="shared" si="1"/>
        <v>356589630.51499909</v>
      </c>
      <c r="H31" s="26" t="s">
        <v>1749</v>
      </c>
    </row>
    <row r="32" spans="1:8">
      <c r="A32" s="27">
        <v>45567</v>
      </c>
      <c r="B32" s="28">
        <f t="shared" ref="B32" si="11">G31</f>
        <v>356589630.51499909</v>
      </c>
      <c r="C32" s="29">
        <v>-4072068.9700000007</v>
      </c>
      <c r="D32" s="29">
        <v>30845342.559999999</v>
      </c>
      <c r="E32" s="29">
        <v>337805.60000000003</v>
      </c>
      <c r="F32" s="29">
        <v>-802155.81</v>
      </c>
      <c r="G32" s="30">
        <f t="shared" si="1"/>
        <v>382898553.89499909</v>
      </c>
      <c r="H32" s="26" t="s">
        <v>1756</v>
      </c>
    </row>
    <row r="33" spans="1:8">
      <c r="A33" s="27">
        <v>45568</v>
      </c>
      <c r="B33" s="28">
        <f t="shared" ref="B33" si="12">G32</f>
        <v>382898553.89499909</v>
      </c>
      <c r="C33" s="29">
        <v>-7082697.6500000004</v>
      </c>
      <c r="D33" s="29">
        <v>629144.64000000013</v>
      </c>
      <c r="E33" s="29">
        <v>29399402.649999999</v>
      </c>
      <c r="F33" s="29">
        <v>-8099581.8499999996</v>
      </c>
      <c r="G33" s="30">
        <f t="shared" si="1"/>
        <v>397744821.68499905</v>
      </c>
      <c r="H33" s="26" t="s">
        <v>1763</v>
      </c>
    </row>
    <row r="34" spans="1:8">
      <c r="A34" s="27">
        <v>45569</v>
      </c>
      <c r="B34" s="28">
        <f t="shared" ref="B34" si="13">G33</f>
        <v>397744821.68499905</v>
      </c>
      <c r="C34" s="29">
        <v>-5883726.8299999982</v>
      </c>
      <c r="D34" s="29">
        <v>5385237.5099999998</v>
      </c>
      <c r="E34" s="29">
        <v>23601653.43</v>
      </c>
      <c r="F34" s="29">
        <v>-6501439.1699999999</v>
      </c>
      <c r="G34" s="30">
        <f t="shared" si="1"/>
        <v>414346546.62499905</v>
      </c>
      <c r="H34" s="26" t="s">
        <v>1778</v>
      </c>
    </row>
    <row r="35" spans="1:8">
      <c r="A35" s="27">
        <v>45570</v>
      </c>
      <c r="B35" s="28">
        <f t="shared" ref="B35:B37" si="14">G34</f>
        <v>414346546.62499905</v>
      </c>
      <c r="C35" s="29">
        <v>0</v>
      </c>
      <c r="D35" s="29">
        <v>0</v>
      </c>
      <c r="E35" s="29">
        <v>0</v>
      </c>
      <c r="F35" s="29">
        <v>0</v>
      </c>
      <c r="G35" s="30">
        <f t="shared" si="1"/>
        <v>414346546.62499905</v>
      </c>
    </row>
    <row r="36" spans="1:8">
      <c r="A36" s="27">
        <v>45571</v>
      </c>
      <c r="B36" s="28">
        <f t="shared" si="14"/>
        <v>414346546.62499905</v>
      </c>
      <c r="C36" s="29">
        <v>0</v>
      </c>
      <c r="D36" s="29">
        <v>0</v>
      </c>
      <c r="E36" s="29">
        <v>0</v>
      </c>
      <c r="F36" s="29">
        <v>0</v>
      </c>
      <c r="G36" s="30">
        <f t="shared" si="1"/>
        <v>414346546.62499905</v>
      </c>
    </row>
    <row r="37" spans="1:8">
      <c r="A37" s="27">
        <v>45572</v>
      </c>
      <c r="B37" s="28">
        <f t="shared" si="14"/>
        <v>414346546.62499905</v>
      </c>
      <c r="C37" s="29">
        <v>-1368400.7399999998</v>
      </c>
      <c r="D37" s="29">
        <v>127277.88</v>
      </c>
      <c r="E37" s="29">
        <v>0</v>
      </c>
      <c r="F37" s="29">
        <v>0</v>
      </c>
      <c r="G37" s="30">
        <f t="shared" si="1"/>
        <v>413105423.76499903</v>
      </c>
    </row>
    <row r="38" spans="1:8">
      <c r="A38" s="27">
        <v>45573</v>
      </c>
      <c r="B38" s="28">
        <f t="shared" ref="B38:B39" si="15">G37</f>
        <v>413105423.76499903</v>
      </c>
      <c r="C38" s="29">
        <v>-2299482.3299999987</v>
      </c>
      <c r="D38" s="29">
        <v>2567104.83</v>
      </c>
      <c r="E38" s="29">
        <v>25198639.49000001</v>
      </c>
      <c r="F38" s="29">
        <v>-88430324.799999997</v>
      </c>
      <c r="G38" s="30">
        <f t="shared" si="1"/>
        <v>350141360.95499903</v>
      </c>
      <c r="H38" s="26" t="s">
        <v>1793</v>
      </c>
    </row>
    <row r="39" spans="1:8">
      <c r="A39" s="27">
        <v>45574</v>
      </c>
      <c r="B39" s="28">
        <f t="shared" si="15"/>
        <v>350141360.95499903</v>
      </c>
      <c r="C39" s="29">
        <v>-2199649.8499999996</v>
      </c>
      <c r="D39" s="29">
        <v>780685.30999999994</v>
      </c>
      <c r="E39" s="29">
        <v>163308.79999999999</v>
      </c>
      <c r="F39" s="29">
        <v>-3851639.22</v>
      </c>
      <c r="G39" s="30">
        <f t="shared" si="1"/>
        <v>345034065.99499899</v>
      </c>
    </row>
    <row r="40" spans="1:8">
      <c r="A40" s="27">
        <v>45575</v>
      </c>
      <c r="B40" s="28">
        <f t="shared" ref="B40:B41" si="16">G39</f>
        <v>345034065.99499899</v>
      </c>
      <c r="C40" s="29">
        <v>-4896799.0199999996</v>
      </c>
      <c r="D40" s="29">
        <v>1137027.79</v>
      </c>
      <c r="E40" s="29">
        <v>71482.920000000013</v>
      </c>
      <c r="F40" s="29">
        <v>-136456914.13999999</v>
      </c>
      <c r="G40" s="30">
        <f t="shared" si="1"/>
        <v>204888863.54499906</v>
      </c>
      <c r="H40" s="26" t="s">
        <v>1809</v>
      </c>
    </row>
    <row r="41" spans="1:8">
      <c r="A41" s="27">
        <v>45576</v>
      </c>
      <c r="B41" s="28">
        <f t="shared" si="16"/>
        <v>204888863.54499906</v>
      </c>
      <c r="C41" s="29">
        <v>-8186918.1199999992</v>
      </c>
      <c r="D41" s="29">
        <v>8225225.04</v>
      </c>
      <c r="E41" s="29">
        <v>673518.28</v>
      </c>
      <c r="F41" s="29">
        <v>-5596624.2599999988</v>
      </c>
      <c r="G41" s="30">
        <f t="shared" si="1"/>
        <v>200004064.48499906</v>
      </c>
      <c r="H41" s="26" t="s">
        <v>1821</v>
      </c>
    </row>
    <row r="42" spans="1:8">
      <c r="A42" s="27">
        <v>45577</v>
      </c>
      <c r="B42" s="28">
        <f t="shared" ref="B42:B45" si="17">G41</f>
        <v>200004064.48499906</v>
      </c>
      <c r="C42" s="29">
        <v>0</v>
      </c>
      <c r="D42" s="29">
        <v>0</v>
      </c>
      <c r="E42" s="29">
        <v>0</v>
      </c>
      <c r="F42" s="29">
        <v>0</v>
      </c>
      <c r="G42" s="30">
        <f t="shared" si="1"/>
        <v>200004064.48499906</v>
      </c>
    </row>
    <row r="43" spans="1:8">
      <c r="A43" s="27">
        <v>45578</v>
      </c>
      <c r="B43" s="28">
        <f t="shared" si="17"/>
        <v>200004064.48499906</v>
      </c>
      <c r="C43" s="29">
        <v>0</v>
      </c>
      <c r="D43" s="29">
        <v>0</v>
      </c>
      <c r="E43" s="29">
        <v>0</v>
      </c>
      <c r="F43" s="29">
        <v>0</v>
      </c>
      <c r="G43" s="30">
        <f t="shared" si="1"/>
        <v>200004064.48499906</v>
      </c>
    </row>
    <row r="44" spans="1:8">
      <c r="A44" s="27">
        <v>45579</v>
      </c>
      <c r="B44" s="28">
        <f t="shared" si="17"/>
        <v>200004064.48499906</v>
      </c>
      <c r="C44" s="29">
        <v>0</v>
      </c>
      <c r="D44" s="29">
        <v>0</v>
      </c>
      <c r="E44" s="29">
        <v>0</v>
      </c>
      <c r="F44" s="29">
        <v>0</v>
      </c>
      <c r="G44" s="30">
        <f t="shared" si="1"/>
        <v>200004064.48499906</v>
      </c>
    </row>
    <row r="45" spans="1:8">
      <c r="A45" s="27">
        <v>45580</v>
      </c>
      <c r="B45" s="28">
        <f t="shared" si="17"/>
        <v>200004064.48499906</v>
      </c>
      <c r="C45" s="29">
        <v>-2896736.2200000007</v>
      </c>
      <c r="D45" s="29">
        <v>3692772.4699999997</v>
      </c>
      <c r="E45" s="29">
        <v>417207.62</v>
      </c>
      <c r="F45" s="29">
        <v>-7405015.0200000005</v>
      </c>
      <c r="G45" s="30">
        <f t="shared" si="1"/>
        <v>193812293.33499905</v>
      </c>
      <c r="H45" s="26" t="s">
        <v>1828</v>
      </c>
    </row>
    <row r="46" spans="1:8">
      <c r="A46" s="27">
        <v>45581</v>
      </c>
      <c r="B46" s="28">
        <f t="shared" ref="B46:B47" si="18">G45</f>
        <v>193812293.33499905</v>
      </c>
      <c r="C46" s="29">
        <v>-2665978.1299999994</v>
      </c>
      <c r="D46" s="29">
        <v>4358019.5999999996</v>
      </c>
      <c r="E46" s="29">
        <v>4896519.6899999995</v>
      </c>
      <c r="F46" s="29">
        <v>-851205.65</v>
      </c>
      <c r="G46" s="30">
        <f t="shared" si="1"/>
        <v>199549648.84499905</v>
      </c>
      <c r="H46" s="26" t="s">
        <v>1837</v>
      </c>
    </row>
    <row r="47" spans="1:8">
      <c r="A47" s="27">
        <v>45582</v>
      </c>
      <c r="B47" s="28">
        <f t="shared" si="18"/>
        <v>199549648.84499905</v>
      </c>
      <c r="C47" s="29">
        <v>-1385305.73</v>
      </c>
      <c r="D47" s="29">
        <v>783940.16</v>
      </c>
      <c r="E47" s="29">
        <v>5104690.13</v>
      </c>
      <c r="F47" s="29">
        <v>-4998564.1399999997</v>
      </c>
      <c r="G47" s="30">
        <f t="shared" si="1"/>
        <v>199054409.26499906</v>
      </c>
      <c r="H47" s="26" t="s">
        <v>1844</v>
      </c>
    </row>
    <row r="48" spans="1:8">
      <c r="A48" s="27">
        <v>45583</v>
      </c>
      <c r="B48" s="28">
        <f t="shared" ref="B48" si="19">G47</f>
        <v>199054409.26499906</v>
      </c>
      <c r="C48" s="29">
        <v>-3262100.2500000005</v>
      </c>
      <c r="D48" s="29">
        <v>1107750.58</v>
      </c>
      <c r="E48" s="29">
        <v>0</v>
      </c>
      <c r="F48" s="29">
        <v>0</v>
      </c>
      <c r="G48" s="30">
        <f t="shared" si="1"/>
        <v>196900059.59499907</v>
      </c>
    </row>
    <row r="49" spans="1:8">
      <c r="A49" s="27">
        <v>45584</v>
      </c>
      <c r="B49" s="28">
        <f t="shared" ref="B49:B51" si="20">G48</f>
        <v>196900059.59499907</v>
      </c>
      <c r="C49" s="29">
        <v>0</v>
      </c>
      <c r="D49" s="29">
        <v>0</v>
      </c>
      <c r="E49" s="29">
        <v>0</v>
      </c>
      <c r="F49" s="29">
        <v>0</v>
      </c>
      <c r="G49" s="30">
        <f t="shared" si="1"/>
        <v>196900059.59499907</v>
      </c>
    </row>
    <row r="50" spans="1:8">
      <c r="A50" s="27">
        <v>45585</v>
      </c>
      <c r="B50" s="28">
        <f t="shared" si="20"/>
        <v>196900059.59499907</v>
      </c>
      <c r="C50" s="29">
        <v>0</v>
      </c>
      <c r="D50" s="29">
        <v>0</v>
      </c>
      <c r="E50" s="29">
        <v>0</v>
      </c>
      <c r="F50" s="29">
        <v>0</v>
      </c>
      <c r="G50" s="30">
        <f t="shared" si="1"/>
        <v>196900059.59499907</v>
      </c>
    </row>
    <row r="51" spans="1:8">
      <c r="A51" s="27">
        <v>45586</v>
      </c>
      <c r="B51" s="28">
        <f t="shared" si="20"/>
        <v>196900059.59499907</v>
      </c>
      <c r="C51" s="29">
        <v>-886263.41</v>
      </c>
      <c r="D51" s="29">
        <v>27395.9</v>
      </c>
      <c r="E51" s="29">
        <v>1535.02</v>
      </c>
      <c r="F51" s="29">
        <v>0</v>
      </c>
      <c r="G51" s="30">
        <f t="shared" si="1"/>
        <v>196042727.1049991</v>
      </c>
    </row>
    <row r="52" spans="1:8">
      <c r="A52" s="27">
        <v>45587</v>
      </c>
      <c r="B52" s="28">
        <f t="shared" ref="B52" si="21">G51</f>
        <v>196042727.1049991</v>
      </c>
      <c r="C52" s="29">
        <v>-8196772.3800000018</v>
      </c>
      <c r="D52" s="29">
        <v>3090477.82</v>
      </c>
      <c r="E52" s="29">
        <v>15197258.449999997</v>
      </c>
      <c r="F52" s="29">
        <v>-8435349.4400000013</v>
      </c>
      <c r="G52" s="30">
        <f t="shared" si="1"/>
        <v>197698341.55499908</v>
      </c>
      <c r="H52" s="26" t="s">
        <v>1852</v>
      </c>
    </row>
    <row r="53" spans="1:8">
      <c r="A53" s="27">
        <v>45588</v>
      </c>
      <c r="B53" s="28">
        <f t="shared" ref="B53:B55" si="22">G52</f>
        <v>197698341.55499908</v>
      </c>
      <c r="C53" s="29">
        <v>-5700169.2100000028</v>
      </c>
      <c r="D53" s="29">
        <v>4594930.6800000016</v>
      </c>
      <c r="E53" s="29">
        <v>509283.09</v>
      </c>
      <c r="F53" s="29">
        <v>-10485145.560000001</v>
      </c>
      <c r="G53" s="30">
        <f t="shared" si="1"/>
        <v>186617240.55499908</v>
      </c>
      <c r="H53" s="26" t="s">
        <v>1868</v>
      </c>
    </row>
    <row r="54" spans="1:8">
      <c r="A54" s="27">
        <v>45589</v>
      </c>
      <c r="B54" s="28">
        <f t="shared" si="22"/>
        <v>186617240.55499908</v>
      </c>
      <c r="C54" s="29">
        <v>-2874918.52</v>
      </c>
      <c r="D54" s="29">
        <v>5115479.13</v>
      </c>
      <c r="E54" s="29">
        <v>7604421.1500000004</v>
      </c>
      <c r="F54" s="29">
        <v>-15746798.300000001</v>
      </c>
      <c r="G54" s="30">
        <f t="shared" si="1"/>
        <v>180715424.01499906</v>
      </c>
      <c r="H54" s="26" t="s">
        <v>1881</v>
      </c>
    </row>
    <row r="55" spans="1:8">
      <c r="A55" s="27">
        <v>45590</v>
      </c>
      <c r="B55" s="28">
        <f t="shared" si="22"/>
        <v>180715424.01499906</v>
      </c>
      <c r="C55" s="29">
        <v>-2217647.5299999998</v>
      </c>
      <c r="D55" s="29">
        <v>9519721.7799999993</v>
      </c>
      <c r="E55" s="29">
        <v>19180524.359999999</v>
      </c>
      <c r="F55" s="29">
        <v>-105295959.64</v>
      </c>
      <c r="G55" s="30">
        <f t="shared" si="1"/>
        <v>101902062.98499905</v>
      </c>
      <c r="H55" s="26" t="s">
        <v>1888</v>
      </c>
    </row>
    <row r="56" spans="1:8">
      <c r="A56" s="27">
        <v>45591</v>
      </c>
      <c r="B56" s="28">
        <f t="shared" ref="B56:B57" si="23">G55</f>
        <v>101902062.98499905</v>
      </c>
      <c r="C56" s="29">
        <v>0</v>
      </c>
      <c r="D56" s="29">
        <v>0</v>
      </c>
      <c r="E56" s="29">
        <v>0</v>
      </c>
      <c r="F56" s="29">
        <v>0</v>
      </c>
      <c r="G56" s="30">
        <f t="shared" si="1"/>
        <v>101902062.98499905</v>
      </c>
    </row>
    <row r="57" spans="1:8">
      <c r="A57" s="27">
        <v>45592</v>
      </c>
      <c r="B57" s="28">
        <f t="shared" si="23"/>
        <v>101902062.98499905</v>
      </c>
      <c r="C57" s="29">
        <v>0</v>
      </c>
      <c r="D57" s="29">
        <v>0</v>
      </c>
      <c r="E57" s="29">
        <v>0</v>
      </c>
      <c r="F57" s="29">
        <v>0</v>
      </c>
      <c r="G57" s="30">
        <f t="shared" si="1"/>
        <v>101902062.98499905</v>
      </c>
    </row>
    <row r="58" spans="1:8">
      <c r="A58" s="27">
        <v>45593</v>
      </c>
      <c r="B58" s="28">
        <f t="shared" ref="B58" si="24">G57</f>
        <v>101902062.98499905</v>
      </c>
      <c r="C58" s="29">
        <v>-1227148.76</v>
      </c>
      <c r="D58" s="29">
        <v>11136249.450000001</v>
      </c>
      <c r="E58" s="29">
        <v>363506.75999999995</v>
      </c>
      <c r="F58" s="29">
        <v>-1066832.31</v>
      </c>
      <c r="G58" s="30">
        <f t="shared" si="1"/>
        <v>111107838.12499905</v>
      </c>
      <c r="H58" s="26" t="s">
        <v>1901</v>
      </c>
    </row>
    <row r="59" spans="1:8">
      <c r="A59" s="27">
        <v>45594</v>
      </c>
      <c r="B59" s="28">
        <f t="shared" ref="B59" si="25">G58</f>
        <v>111107838.12499905</v>
      </c>
      <c r="C59" s="29">
        <v>-1586154.4100000004</v>
      </c>
      <c r="D59" s="29">
        <v>17523093</v>
      </c>
      <c r="E59" s="29">
        <v>53312988.169999994</v>
      </c>
      <c r="F59" s="29">
        <v>-843353.9</v>
      </c>
      <c r="G59" s="30">
        <f t="shared" si="1"/>
        <v>179514410.98499903</v>
      </c>
      <c r="H59" s="26" t="s">
        <v>1906</v>
      </c>
    </row>
    <row r="60" spans="1:8">
      <c r="A60" s="27">
        <v>45595</v>
      </c>
      <c r="B60" s="28">
        <f t="shared" ref="B60" si="26">G59</f>
        <v>179514410.98499903</v>
      </c>
      <c r="C60" s="29">
        <v>-2465354.42</v>
      </c>
      <c r="D60" s="29">
        <v>721695.63</v>
      </c>
      <c r="E60" s="29">
        <v>167562.06</v>
      </c>
      <c r="F60" s="29">
        <v>-845927.43</v>
      </c>
      <c r="G60" s="30">
        <f t="shared" si="1"/>
        <v>177092386.82499903</v>
      </c>
      <c r="H60" s="26" t="s">
        <v>1920</v>
      </c>
    </row>
    <row r="61" spans="1:8">
      <c r="A61" s="27">
        <v>45596</v>
      </c>
      <c r="B61" s="28">
        <f t="shared" ref="B61" si="27">G60</f>
        <v>177092386.82499903</v>
      </c>
      <c r="C61" s="29">
        <v>-2761674.52</v>
      </c>
      <c r="D61" s="29">
        <v>48907873.810000002</v>
      </c>
      <c r="E61" s="29">
        <v>9642.2000000000007</v>
      </c>
      <c r="F61" s="29">
        <v>-752583.09</v>
      </c>
      <c r="G61" s="30">
        <f t="shared" si="1"/>
        <v>222495645.22499901</v>
      </c>
      <c r="H61" s="26" t="s">
        <v>1924</v>
      </c>
    </row>
    <row r="62" spans="1:8">
      <c r="A62" s="27">
        <v>45597</v>
      </c>
      <c r="B62" s="28">
        <f>G61</f>
        <v>222495645.22499901</v>
      </c>
      <c r="C62" s="29">
        <v>-4640354.080000001</v>
      </c>
      <c r="D62" s="29">
        <v>10928364.190000005</v>
      </c>
      <c r="E62" s="29">
        <v>299048.48000000004</v>
      </c>
      <c r="F62" s="29">
        <v>-68850.429999999993</v>
      </c>
      <c r="G62" s="30">
        <f t="shared" si="1"/>
        <v>229013853.38499898</v>
      </c>
      <c r="H62" s="26" t="s">
        <v>1927</v>
      </c>
    </row>
    <row r="63" spans="1:8">
      <c r="A63" s="27">
        <v>45598</v>
      </c>
      <c r="B63" s="28">
        <f t="shared" ref="B63:B65" si="28">G62</f>
        <v>229013853.38499898</v>
      </c>
      <c r="C63" s="29">
        <v>0</v>
      </c>
      <c r="D63" s="29">
        <v>0</v>
      </c>
      <c r="E63" s="29">
        <v>0</v>
      </c>
      <c r="F63" s="29">
        <v>0</v>
      </c>
      <c r="G63" s="30">
        <f t="shared" si="1"/>
        <v>229013853.38499898</v>
      </c>
    </row>
    <row r="64" spans="1:8">
      <c r="A64" s="27">
        <v>45599</v>
      </c>
      <c r="B64" s="28">
        <f t="shared" si="28"/>
        <v>229013853.38499898</v>
      </c>
      <c r="C64" s="29">
        <v>0</v>
      </c>
      <c r="D64" s="29">
        <v>0</v>
      </c>
      <c r="E64" s="29">
        <v>0</v>
      </c>
      <c r="F64" s="29">
        <v>0</v>
      </c>
      <c r="G64" s="30">
        <f t="shared" si="1"/>
        <v>229013853.38499898</v>
      </c>
    </row>
    <row r="65" spans="1:8">
      <c r="A65" s="27">
        <v>45600</v>
      </c>
      <c r="B65" s="28">
        <f t="shared" si="28"/>
        <v>229013853.38499898</v>
      </c>
      <c r="C65" s="29">
        <v>-3602124.25</v>
      </c>
      <c r="D65" s="29">
        <v>1677437.6300000001</v>
      </c>
      <c r="E65" s="29">
        <v>8000137.7000000002</v>
      </c>
      <c r="F65" s="29">
        <v>0</v>
      </c>
      <c r="G65" s="30">
        <f t="shared" ref="G65:G87" si="29">SUM(B65:F65)</f>
        <v>235089304.46499896</v>
      </c>
      <c r="H65" s="26" t="s">
        <v>1937</v>
      </c>
    </row>
    <row r="66" spans="1:8">
      <c r="A66" s="27">
        <v>45601</v>
      </c>
      <c r="B66" s="28">
        <f t="shared" ref="B66" si="30">G65</f>
        <v>235089304.46499896</v>
      </c>
      <c r="C66" s="29">
        <v>-9160499.6199999992</v>
      </c>
      <c r="D66" s="29">
        <v>896488.77</v>
      </c>
      <c r="E66" s="29">
        <v>1603208.08</v>
      </c>
      <c r="F66" s="29">
        <v>-15728126.99</v>
      </c>
      <c r="G66" s="30">
        <f t="shared" si="29"/>
        <v>212700374.70499897</v>
      </c>
      <c r="H66" s="26" t="s">
        <v>1945</v>
      </c>
    </row>
    <row r="67" spans="1:8">
      <c r="A67" s="27">
        <v>45602</v>
      </c>
      <c r="B67" s="28">
        <f t="shared" ref="B67" si="31">G66</f>
        <v>212700374.70499897</v>
      </c>
      <c r="C67" s="29">
        <v>-3793726.189999999</v>
      </c>
      <c r="D67" s="29">
        <v>2553000.04</v>
      </c>
      <c r="E67" s="29">
        <v>58860630.540000007</v>
      </c>
      <c r="F67" s="29">
        <v>-94169716.210000008</v>
      </c>
      <c r="G67" s="30">
        <f t="shared" si="29"/>
        <v>176150562.88499895</v>
      </c>
      <c r="H67" s="26" t="s">
        <v>1956</v>
      </c>
    </row>
    <row r="68" spans="1:8">
      <c r="A68" s="27">
        <v>45603</v>
      </c>
      <c r="B68" s="28">
        <f t="shared" ref="B68:B69" si="32">G67</f>
        <v>176150562.88499895</v>
      </c>
      <c r="C68" s="29">
        <v>-1401487.8000000003</v>
      </c>
      <c r="D68" s="29">
        <v>7249671.6000000006</v>
      </c>
      <c r="E68" s="29">
        <v>760703.78</v>
      </c>
      <c r="F68" s="29">
        <v>-50004646.700000003</v>
      </c>
      <c r="G68" s="30">
        <f t="shared" si="29"/>
        <v>132754803.76499893</v>
      </c>
      <c r="H68" s="26" t="s">
        <v>1981</v>
      </c>
    </row>
    <row r="69" spans="1:8">
      <c r="A69" s="27">
        <v>45604</v>
      </c>
      <c r="B69" s="28">
        <f t="shared" si="32"/>
        <v>132754803.76499893</v>
      </c>
      <c r="C69" s="29">
        <v>-5371651.9100000001</v>
      </c>
      <c r="D69" s="29">
        <v>3263463.21</v>
      </c>
      <c r="E69" s="29">
        <v>601449.15</v>
      </c>
      <c r="F69" s="29">
        <v>-789487.76</v>
      </c>
      <c r="G69" s="30">
        <f t="shared" si="29"/>
        <v>130458576.45499893</v>
      </c>
      <c r="H69" s="26" t="s">
        <v>1990</v>
      </c>
    </row>
    <row r="70" spans="1:8">
      <c r="A70" s="27">
        <v>45605</v>
      </c>
      <c r="B70" s="28">
        <f t="shared" ref="B70:B73" si="33">G69</f>
        <v>130458576.45499893</v>
      </c>
      <c r="C70" s="29">
        <v>0</v>
      </c>
      <c r="D70" s="29">
        <v>0</v>
      </c>
      <c r="E70" s="29">
        <v>0</v>
      </c>
      <c r="F70" s="29">
        <v>0</v>
      </c>
      <c r="G70" s="30">
        <f t="shared" si="29"/>
        <v>130458576.45499893</v>
      </c>
    </row>
    <row r="71" spans="1:8">
      <c r="A71" s="27">
        <v>45606</v>
      </c>
      <c r="B71" s="28">
        <f t="shared" si="33"/>
        <v>130458576.45499893</v>
      </c>
      <c r="C71" s="29">
        <v>0</v>
      </c>
      <c r="D71" s="29">
        <v>0</v>
      </c>
      <c r="E71" s="29">
        <v>0</v>
      </c>
      <c r="F71" s="29">
        <v>0</v>
      </c>
      <c r="G71" s="30">
        <f t="shared" si="29"/>
        <v>130458576.45499893</v>
      </c>
    </row>
    <row r="72" spans="1:8">
      <c r="A72" s="27">
        <v>45607</v>
      </c>
      <c r="B72" s="28">
        <f t="shared" si="33"/>
        <v>130458576.45499893</v>
      </c>
      <c r="C72" s="29">
        <v>0</v>
      </c>
      <c r="D72" s="29">
        <v>0</v>
      </c>
      <c r="E72" s="29">
        <v>0</v>
      </c>
      <c r="F72" s="29">
        <v>0</v>
      </c>
      <c r="G72" s="30">
        <f t="shared" si="29"/>
        <v>130458576.45499893</v>
      </c>
    </row>
    <row r="73" spans="1:8">
      <c r="A73" s="27">
        <v>45608</v>
      </c>
      <c r="B73" s="28">
        <f t="shared" si="33"/>
        <v>130458576.45499893</v>
      </c>
      <c r="C73" s="29">
        <v>-2023108.8900000004</v>
      </c>
      <c r="D73" s="29">
        <v>3896283.25</v>
      </c>
      <c r="E73" s="29">
        <v>141185.62000000002</v>
      </c>
      <c r="F73" s="29">
        <v>-274332.67</v>
      </c>
      <c r="G73" s="30">
        <f t="shared" si="29"/>
        <v>132198603.76499893</v>
      </c>
      <c r="H73" s="26" t="s">
        <v>1995</v>
      </c>
    </row>
    <row r="74" spans="1:8">
      <c r="A74" s="27">
        <v>45609</v>
      </c>
      <c r="B74" s="28">
        <f t="shared" ref="B74" si="34">G73</f>
        <v>132198603.76499893</v>
      </c>
      <c r="C74" s="29">
        <v>-1672522.46</v>
      </c>
      <c r="D74" s="29">
        <v>3545897.48</v>
      </c>
      <c r="E74" s="29">
        <v>1629691.2700000003</v>
      </c>
      <c r="F74" s="29">
        <v>-1883753.5699999998</v>
      </c>
      <c r="G74" s="30">
        <f t="shared" si="29"/>
        <v>133817916.48499894</v>
      </c>
      <c r="H74" s="26" t="s">
        <v>1998</v>
      </c>
    </row>
    <row r="75" spans="1:8">
      <c r="A75" s="27">
        <v>45610</v>
      </c>
      <c r="B75" s="28">
        <f t="shared" ref="B75" si="35">G74</f>
        <v>133817916.48499894</v>
      </c>
      <c r="C75" s="29">
        <v>-1306575.4999999995</v>
      </c>
      <c r="D75" s="29">
        <v>387109.77</v>
      </c>
      <c r="E75" s="29">
        <v>24669.89</v>
      </c>
      <c r="F75" s="29">
        <v>-439116.31999999995</v>
      </c>
      <c r="G75" s="30">
        <f t="shared" si="29"/>
        <v>132484004.32499894</v>
      </c>
    </row>
    <row r="76" spans="1:8">
      <c r="A76" s="27">
        <v>45611</v>
      </c>
      <c r="B76" s="28">
        <f t="shared" ref="B76" si="36">G75</f>
        <v>132484004.32499894</v>
      </c>
      <c r="C76" s="29">
        <v>-4302068.33</v>
      </c>
      <c r="D76" s="29">
        <v>5110855.7200000007</v>
      </c>
      <c r="E76" s="29">
        <v>4354559.47</v>
      </c>
      <c r="F76" s="29">
        <v>-6505.67</v>
      </c>
      <c r="G76" s="30">
        <f t="shared" si="29"/>
        <v>137640845.51499897</v>
      </c>
      <c r="H76" s="26" t="s">
        <v>2003</v>
      </c>
    </row>
    <row r="77" spans="1:8">
      <c r="A77" s="27">
        <v>45612</v>
      </c>
      <c r="B77" s="28">
        <f t="shared" ref="B77:B80" si="37">G76</f>
        <v>137640845.51499897</v>
      </c>
      <c r="C77" s="29">
        <v>0</v>
      </c>
      <c r="D77" s="29">
        <v>0</v>
      </c>
      <c r="E77" s="29">
        <v>0</v>
      </c>
      <c r="F77" s="29">
        <v>0</v>
      </c>
      <c r="G77" s="30">
        <f t="shared" si="29"/>
        <v>137640845.51499897</v>
      </c>
    </row>
    <row r="78" spans="1:8">
      <c r="A78" s="27">
        <v>45613</v>
      </c>
      <c r="B78" s="28">
        <f t="shared" si="37"/>
        <v>137640845.51499897</v>
      </c>
      <c r="C78" s="29">
        <v>0</v>
      </c>
      <c r="D78" s="29">
        <v>0</v>
      </c>
      <c r="E78" s="29">
        <v>0</v>
      </c>
      <c r="F78" s="29">
        <v>0</v>
      </c>
      <c r="G78" s="30">
        <f t="shared" si="29"/>
        <v>137640845.51499897</v>
      </c>
    </row>
    <row r="79" spans="1:8">
      <c r="A79" s="27">
        <v>45614</v>
      </c>
      <c r="B79" s="28">
        <f t="shared" si="37"/>
        <v>137640845.51499897</v>
      </c>
      <c r="C79" s="29">
        <v>-3840031.5</v>
      </c>
      <c r="D79" s="29">
        <v>1523986</v>
      </c>
      <c r="E79" s="29">
        <v>0</v>
      </c>
      <c r="F79" s="29">
        <v>0</v>
      </c>
      <c r="G79" s="30">
        <f t="shared" si="29"/>
        <v>135324800.01499897</v>
      </c>
      <c r="H79" s="26" t="s">
        <v>2013</v>
      </c>
    </row>
    <row r="80" spans="1:8">
      <c r="A80" s="27">
        <v>45615</v>
      </c>
      <c r="B80" s="28">
        <f t="shared" si="37"/>
        <v>135324800.01499897</v>
      </c>
      <c r="C80" s="29">
        <v>-4970292.2699999996</v>
      </c>
      <c r="D80" s="29">
        <v>1960675.49</v>
      </c>
      <c r="E80" s="29">
        <v>11567669.68</v>
      </c>
      <c r="F80" s="29">
        <v>-19318297.82</v>
      </c>
      <c r="G80" s="30">
        <f t="shared" si="29"/>
        <v>124564555.09499899</v>
      </c>
      <c r="H80" s="26" t="s">
        <v>2016</v>
      </c>
    </row>
    <row r="81" spans="1:8">
      <c r="A81" s="27">
        <v>45616</v>
      </c>
      <c r="B81" s="28">
        <f t="shared" ref="B81" si="38">G80</f>
        <v>124564555.09499899</v>
      </c>
      <c r="C81" s="29">
        <v>-6819945.3599999994</v>
      </c>
      <c r="D81" s="29">
        <v>19561653.300000001</v>
      </c>
      <c r="E81" s="29">
        <v>9091944.5500000007</v>
      </c>
      <c r="F81" s="29">
        <v>-70119541.429999992</v>
      </c>
      <c r="G81" s="30">
        <f t="shared" si="29"/>
        <v>76278666.154999003</v>
      </c>
      <c r="H81" s="26" t="s">
        <v>2030</v>
      </c>
    </row>
    <row r="82" spans="1:8">
      <c r="A82" s="27">
        <v>45617</v>
      </c>
      <c r="B82" s="28">
        <f t="shared" ref="B82:B83" si="39">G81</f>
        <v>76278666.154999003</v>
      </c>
      <c r="C82" s="29">
        <v>-4790681.0999999978</v>
      </c>
      <c r="D82" s="29">
        <v>2346102.6800000002</v>
      </c>
      <c r="E82" s="29">
        <v>558069.51</v>
      </c>
      <c r="F82" s="29">
        <v>-732292.49</v>
      </c>
      <c r="G82" s="30">
        <f t="shared" si="29"/>
        <v>73659864.754999027</v>
      </c>
      <c r="H82" s="26" t="s">
        <v>2045</v>
      </c>
    </row>
    <row r="83" spans="1:8">
      <c r="A83" s="27">
        <v>45618</v>
      </c>
      <c r="B83" s="28">
        <f t="shared" si="39"/>
        <v>73659864.754999027</v>
      </c>
      <c r="C83" s="29">
        <v>-4290479.8600000003</v>
      </c>
      <c r="D83" s="29">
        <v>3350369.46</v>
      </c>
      <c r="E83" s="29">
        <v>39494579.990000002</v>
      </c>
      <c r="F83" s="29">
        <v>-1229100.27</v>
      </c>
      <c r="G83" s="30">
        <f t="shared" si="29"/>
        <v>110985234.07499902</v>
      </c>
      <c r="H83" s="26" t="s">
        <v>2048</v>
      </c>
    </row>
    <row r="84" spans="1:8">
      <c r="A84" s="27">
        <v>45619</v>
      </c>
      <c r="B84" s="28">
        <f t="shared" ref="B84:B86" si="40">G83</f>
        <v>110985234.07499902</v>
      </c>
      <c r="C84" s="29">
        <v>0</v>
      </c>
      <c r="D84" s="29">
        <v>0</v>
      </c>
      <c r="E84" s="29">
        <v>0</v>
      </c>
      <c r="F84" s="29">
        <v>0</v>
      </c>
      <c r="G84" s="30">
        <f t="shared" si="29"/>
        <v>110985234.07499902</v>
      </c>
    </row>
    <row r="85" spans="1:8">
      <c r="A85" s="27">
        <v>45620</v>
      </c>
      <c r="B85" s="28">
        <f t="shared" si="40"/>
        <v>110985234.07499902</v>
      </c>
      <c r="C85" s="29">
        <v>0</v>
      </c>
      <c r="D85" s="29">
        <v>0</v>
      </c>
      <c r="E85" s="29">
        <v>0</v>
      </c>
      <c r="F85" s="29">
        <v>0</v>
      </c>
      <c r="G85" s="30">
        <f t="shared" si="29"/>
        <v>110985234.07499902</v>
      </c>
    </row>
    <row r="86" spans="1:8">
      <c r="A86" s="27">
        <v>45621</v>
      </c>
      <c r="B86" s="28">
        <f t="shared" si="40"/>
        <v>110985234.07499902</v>
      </c>
      <c r="C86" s="29">
        <v>-3841530.1100000008</v>
      </c>
      <c r="D86" s="29">
        <v>7192082.7400000002</v>
      </c>
      <c r="E86" s="29">
        <v>53372794.829999998</v>
      </c>
      <c r="F86" s="29">
        <v>-718395.38</v>
      </c>
      <c r="G86" s="30">
        <f t="shared" si="29"/>
        <v>166990186.15499902</v>
      </c>
      <c r="H86" s="26" t="s">
        <v>2058</v>
      </c>
    </row>
    <row r="87" spans="1:8">
      <c r="A87" s="27">
        <v>45622</v>
      </c>
      <c r="B87" s="28">
        <f t="shared" ref="B87" si="41">G86</f>
        <v>166990186.15499902</v>
      </c>
      <c r="C87" s="29">
        <v>-4112520.209999999</v>
      </c>
      <c r="D87" s="29">
        <v>592092.36</v>
      </c>
      <c r="E87" s="29">
        <v>34296701.790000014</v>
      </c>
      <c r="F87" s="29">
        <v>-23804164.420000002</v>
      </c>
      <c r="G87" s="30">
        <f t="shared" si="29"/>
        <v>173962295.67499906</v>
      </c>
      <c r="H87" s="26" t="s">
        <v>2072</v>
      </c>
    </row>
    <row r="88" spans="1:8">
      <c r="A88" s="27">
        <v>45623</v>
      </c>
      <c r="B88" s="28">
        <f t="shared" ref="B88" si="42">G87</f>
        <v>173962295.67499906</v>
      </c>
      <c r="C88" s="29">
        <v>-2512710.0499999993</v>
      </c>
      <c r="D88" s="29">
        <v>57982021.409999996</v>
      </c>
      <c r="E88" s="29">
        <v>-30832899.989999995</v>
      </c>
      <c r="F88" s="29">
        <v>20216373.100000001</v>
      </c>
      <c r="G88" s="30">
        <f>SUM(B88:F88)</f>
        <v>218815080.14499906</v>
      </c>
      <c r="H88" s="26" t="s">
        <v>2083</v>
      </c>
    </row>
    <row r="89" spans="1:8">
      <c r="A89" s="27">
        <v>45624</v>
      </c>
      <c r="B89" s="28">
        <f t="shared" ref="B89:B93" si="43">G88</f>
        <v>218815080.14499906</v>
      </c>
      <c r="C89" s="29">
        <v>0</v>
      </c>
      <c r="D89" s="29">
        <v>0</v>
      </c>
      <c r="E89" s="29">
        <v>0</v>
      </c>
      <c r="F89" s="29">
        <v>0</v>
      </c>
      <c r="G89" s="30">
        <f t="shared" ref="G89:G154" si="44">SUM(B89:F89)</f>
        <v>218815080.14499906</v>
      </c>
    </row>
    <row r="90" spans="1:8">
      <c r="A90" s="27">
        <v>45625</v>
      </c>
      <c r="B90" s="28">
        <f t="shared" si="43"/>
        <v>218815080.14499906</v>
      </c>
      <c r="C90" s="29">
        <v>0</v>
      </c>
      <c r="D90" s="29">
        <v>0</v>
      </c>
      <c r="E90" s="29">
        <v>0</v>
      </c>
      <c r="F90" s="29">
        <v>0</v>
      </c>
      <c r="G90" s="30">
        <f t="shared" si="44"/>
        <v>218815080.14499906</v>
      </c>
    </row>
    <row r="91" spans="1:8">
      <c r="A91" s="27">
        <v>45626</v>
      </c>
      <c r="B91" s="28">
        <f t="shared" si="43"/>
        <v>218815080.14499906</v>
      </c>
      <c r="C91" s="29">
        <v>0</v>
      </c>
      <c r="D91" s="29">
        <v>0</v>
      </c>
      <c r="E91" s="29">
        <v>0</v>
      </c>
      <c r="F91" s="29">
        <v>0</v>
      </c>
      <c r="G91" s="30">
        <f t="shared" si="44"/>
        <v>218815080.14499906</v>
      </c>
    </row>
    <row r="92" spans="1:8">
      <c r="A92" s="27">
        <v>45627</v>
      </c>
      <c r="B92" s="28">
        <f t="shared" si="43"/>
        <v>218815080.14499906</v>
      </c>
      <c r="C92" s="29">
        <v>0</v>
      </c>
      <c r="D92" s="29">
        <v>0</v>
      </c>
      <c r="E92" s="29">
        <v>0</v>
      </c>
      <c r="F92" s="29">
        <v>0</v>
      </c>
      <c r="G92" s="30">
        <f t="shared" si="44"/>
        <v>218815080.14499906</v>
      </c>
    </row>
    <row r="93" spans="1:8">
      <c r="A93" s="27">
        <v>45628</v>
      </c>
      <c r="B93" s="28">
        <f t="shared" si="43"/>
        <v>218815080.14499906</v>
      </c>
      <c r="C93" s="29">
        <v>-1686128.51</v>
      </c>
      <c r="D93" s="29">
        <v>37319226.600000001</v>
      </c>
      <c r="E93" s="29">
        <v>1123133.7000000002</v>
      </c>
      <c r="F93" s="29">
        <v>-7426181.6100000003</v>
      </c>
      <c r="G93" s="30">
        <f t="shared" si="44"/>
        <v>248145130.32499903</v>
      </c>
      <c r="H93" s="26" t="s">
        <v>2096</v>
      </c>
    </row>
    <row r="94" spans="1:8">
      <c r="A94" s="27">
        <v>45629</v>
      </c>
      <c r="B94" s="28">
        <f t="shared" ref="B94" si="45">G93</f>
        <v>248145130.32499903</v>
      </c>
      <c r="C94" s="29">
        <v>-3754417.9499999997</v>
      </c>
      <c r="D94" s="29">
        <v>6501870.9699999988</v>
      </c>
      <c r="E94" s="29">
        <v>112845.37</v>
      </c>
      <c r="F94" s="29">
        <v>-2278562.63</v>
      </c>
      <c r="G94" s="30">
        <f t="shared" si="44"/>
        <v>248726866.08499905</v>
      </c>
      <c r="H94" s="26" t="s">
        <v>2105</v>
      </c>
    </row>
    <row r="95" spans="1:8">
      <c r="A95" s="27">
        <v>45630</v>
      </c>
      <c r="B95" s="28">
        <f t="shared" ref="B95" si="46">G94</f>
        <v>248726866.08499905</v>
      </c>
      <c r="C95" s="29">
        <v>-1756583.8800000004</v>
      </c>
      <c r="D95" s="29">
        <v>1341267.72</v>
      </c>
      <c r="E95" s="29">
        <v>2480633.7199999997</v>
      </c>
      <c r="F95" s="29">
        <v>-15944773.26</v>
      </c>
      <c r="G95" s="30">
        <f t="shared" si="44"/>
        <v>234847410.38499907</v>
      </c>
      <c r="H95" s="26" t="s">
        <v>2110</v>
      </c>
    </row>
    <row r="96" spans="1:8">
      <c r="A96" s="27">
        <v>45631</v>
      </c>
      <c r="B96" s="28">
        <f t="shared" ref="B96:B97" si="47">G95</f>
        <v>234847410.38499907</v>
      </c>
      <c r="C96" s="29">
        <v>-12536048.430000002</v>
      </c>
      <c r="D96" s="29">
        <v>1785981.29</v>
      </c>
      <c r="E96" s="29">
        <v>46847419.280000009</v>
      </c>
      <c r="F96" s="29">
        <v>-74868051.900000006</v>
      </c>
      <c r="G96" s="30">
        <f t="shared" si="44"/>
        <v>196076710.62499908</v>
      </c>
      <c r="H96" s="26" t="s">
        <v>2136</v>
      </c>
    </row>
    <row r="97" spans="1:11">
      <c r="A97" s="27">
        <v>45632</v>
      </c>
      <c r="B97" s="28">
        <f t="shared" si="47"/>
        <v>196076710.62499908</v>
      </c>
      <c r="C97" s="29">
        <v>-4298612.5199999996</v>
      </c>
      <c r="D97" s="29">
        <v>1034520.45</v>
      </c>
      <c r="E97" s="29">
        <v>5779574.0800000001</v>
      </c>
      <c r="F97" s="29">
        <v>0</v>
      </c>
      <c r="G97" s="30">
        <f t="shared" si="44"/>
        <v>198592192.63499907</v>
      </c>
      <c r="H97" s="26" t="s">
        <v>2167</v>
      </c>
    </row>
    <row r="98" spans="1:11">
      <c r="A98" s="27">
        <v>45633</v>
      </c>
      <c r="B98" s="28">
        <f t="shared" ref="B98:B100" si="48">G97</f>
        <v>198592192.63499907</v>
      </c>
      <c r="C98" s="29">
        <v>0</v>
      </c>
      <c r="D98" s="29">
        <v>0</v>
      </c>
      <c r="E98" s="29">
        <v>0</v>
      </c>
      <c r="F98" s="29">
        <v>0</v>
      </c>
      <c r="G98" s="30">
        <f t="shared" si="44"/>
        <v>198592192.63499907</v>
      </c>
    </row>
    <row r="99" spans="1:11">
      <c r="A99" s="27">
        <v>45634</v>
      </c>
      <c r="B99" s="28">
        <f t="shared" si="48"/>
        <v>198592192.63499907</v>
      </c>
      <c r="C99" s="29">
        <v>0</v>
      </c>
      <c r="D99" s="29">
        <v>0</v>
      </c>
      <c r="E99" s="29">
        <v>0</v>
      </c>
      <c r="F99" s="29">
        <v>0</v>
      </c>
      <c r="G99" s="30">
        <f t="shared" si="44"/>
        <v>198592192.63499907</v>
      </c>
    </row>
    <row r="100" spans="1:11" ht="12.75">
      <c r="A100" s="27">
        <v>45635</v>
      </c>
      <c r="B100" s="28">
        <f t="shared" si="48"/>
        <v>198592192.63499907</v>
      </c>
      <c r="C100" s="29">
        <v>-2691813.6300000008</v>
      </c>
      <c r="D100" s="29">
        <v>2517697.2400000002</v>
      </c>
      <c r="E100" s="29">
        <v>8834965.6800000016</v>
      </c>
      <c r="F100" s="29">
        <v>-1088449.3900000001</v>
      </c>
      <c r="G100" s="30">
        <f t="shared" si="44"/>
        <v>206164592.5349991</v>
      </c>
      <c r="H100" s="26" t="s">
        <v>2174</v>
      </c>
      <c r="K100"/>
    </row>
    <row r="101" spans="1:11">
      <c r="A101" s="27">
        <v>45636</v>
      </c>
      <c r="B101" s="28">
        <f t="shared" ref="B101" si="49">G100</f>
        <v>206164592.5349991</v>
      </c>
      <c r="C101" s="29">
        <v>-3757148.9399999995</v>
      </c>
      <c r="D101" s="29">
        <v>1570528.7800000003</v>
      </c>
      <c r="E101" s="29">
        <v>1327490.3500000003</v>
      </c>
      <c r="F101" s="29">
        <v>-952762.67999999993</v>
      </c>
      <c r="G101" s="30">
        <f t="shared" si="44"/>
        <v>204352700.04499909</v>
      </c>
      <c r="H101" s="26" t="s">
        <v>2181</v>
      </c>
    </row>
    <row r="102" spans="1:11">
      <c r="A102" s="27">
        <v>45637</v>
      </c>
      <c r="B102" s="28">
        <f t="shared" ref="B102" si="50">G101</f>
        <v>204352700.04499909</v>
      </c>
      <c r="C102" s="29">
        <v>-662535.81000000006</v>
      </c>
      <c r="D102" s="29">
        <v>1699117.59</v>
      </c>
      <c r="E102" s="29">
        <v>102912600.91999999</v>
      </c>
      <c r="F102" s="29">
        <v>-45296419.599999994</v>
      </c>
      <c r="G102" s="30">
        <f t="shared" si="44"/>
        <v>263005463.14499906</v>
      </c>
      <c r="H102" s="26" t="s">
        <v>2188</v>
      </c>
    </row>
    <row r="103" spans="1:11">
      <c r="A103" s="27">
        <v>45638</v>
      </c>
      <c r="B103" s="28">
        <f t="shared" ref="B103" si="51">G102</f>
        <v>263005463.14499906</v>
      </c>
      <c r="C103" s="29">
        <v>-2192928.290000001</v>
      </c>
      <c r="D103" s="29">
        <v>464614.89999999997</v>
      </c>
      <c r="E103" s="29">
        <v>198165.71999999997</v>
      </c>
      <c r="F103" s="29">
        <v>-1916531.6099999999</v>
      </c>
      <c r="G103" s="30">
        <f t="shared" si="44"/>
        <v>259558783.86499906</v>
      </c>
    </row>
    <row r="104" spans="1:11">
      <c r="A104" s="27">
        <v>45639</v>
      </c>
      <c r="B104" s="28">
        <f t="shared" ref="B104" si="52">G103</f>
        <v>259558783.86499906</v>
      </c>
      <c r="C104" s="29">
        <v>-4357615.6499999985</v>
      </c>
      <c r="D104" s="29">
        <v>15575061.120000001</v>
      </c>
      <c r="E104" s="29">
        <v>378604.87999999995</v>
      </c>
      <c r="F104" s="29">
        <v>-2652382.37</v>
      </c>
      <c r="G104" s="30">
        <f t="shared" si="44"/>
        <v>268502451.84499902</v>
      </c>
      <c r="H104" s="26" t="s">
        <v>2205</v>
      </c>
    </row>
    <row r="105" spans="1:11">
      <c r="A105" s="27">
        <v>45640</v>
      </c>
      <c r="B105" s="28">
        <f t="shared" ref="B105:B107" si="53">G104</f>
        <v>268502451.84499902</v>
      </c>
      <c r="C105" s="29">
        <v>0</v>
      </c>
      <c r="D105" s="29">
        <v>0</v>
      </c>
      <c r="E105" s="29">
        <v>0</v>
      </c>
      <c r="F105" s="29">
        <v>0</v>
      </c>
      <c r="G105" s="30">
        <f t="shared" si="44"/>
        <v>268502451.84499902</v>
      </c>
    </row>
    <row r="106" spans="1:11">
      <c r="A106" s="27">
        <v>45641</v>
      </c>
      <c r="B106" s="28">
        <f t="shared" si="53"/>
        <v>268502451.84499902</v>
      </c>
      <c r="C106" s="29">
        <v>0</v>
      </c>
      <c r="D106" s="29">
        <v>0</v>
      </c>
      <c r="E106" s="29">
        <v>0</v>
      </c>
      <c r="F106" s="29">
        <v>0</v>
      </c>
      <c r="G106" s="30">
        <f t="shared" si="44"/>
        <v>268502451.84499902</v>
      </c>
    </row>
    <row r="107" spans="1:11">
      <c r="A107" s="27">
        <v>45642</v>
      </c>
      <c r="B107" s="28">
        <f t="shared" si="53"/>
        <v>268502451.84499902</v>
      </c>
      <c r="C107" s="29">
        <v>-763864.15</v>
      </c>
      <c r="D107" s="29">
        <v>137892.03</v>
      </c>
      <c r="E107" s="29">
        <v>12419.949999999999</v>
      </c>
      <c r="F107" s="29">
        <v>0</v>
      </c>
      <c r="G107" s="30">
        <f t="shared" si="44"/>
        <v>267888899.674999</v>
      </c>
    </row>
    <row r="108" spans="1:11">
      <c r="A108" s="27">
        <v>45643</v>
      </c>
      <c r="B108" s="28">
        <f t="shared" ref="B108" si="54">G107</f>
        <v>267888899.674999</v>
      </c>
      <c r="C108" s="29">
        <v>-1144336.6400000001</v>
      </c>
      <c r="D108" s="29">
        <v>1844198.16</v>
      </c>
      <c r="E108" s="29">
        <v>22083644.839999992</v>
      </c>
      <c r="F108" s="29">
        <v>-13615439.51</v>
      </c>
      <c r="G108" s="30">
        <f t="shared" si="44"/>
        <v>277056966.52499902</v>
      </c>
      <c r="H108" s="26" t="s">
        <v>2221</v>
      </c>
    </row>
    <row r="109" spans="1:11">
      <c r="A109" s="27">
        <v>45644</v>
      </c>
      <c r="B109" s="28">
        <f t="shared" ref="B109" si="55">G108</f>
        <v>277056966.52499902</v>
      </c>
      <c r="C109" s="29">
        <v>-12584416.909999996</v>
      </c>
      <c r="D109" s="29">
        <v>2492172.9</v>
      </c>
      <c r="E109" s="29">
        <v>7540102.9199999999</v>
      </c>
      <c r="F109" s="29">
        <v>-7512037.6399999997</v>
      </c>
      <c r="G109" s="30">
        <f t="shared" si="44"/>
        <v>266992787.79499906</v>
      </c>
      <c r="H109" s="26" t="s">
        <v>2243</v>
      </c>
    </row>
    <row r="110" spans="1:11">
      <c r="A110" s="27">
        <v>45645</v>
      </c>
      <c r="B110" s="28">
        <f t="shared" ref="B110:B114" si="56">G109</f>
        <v>266992787.79499906</v>
      </c>
      <c r="C110" s="29">
        <v>-2377326.0499999998</v>
      </c>
      <c r="D110" s="29">
        <v>4904646.4000000004</v>
      </c>
      <c r="E110" s="29">
        <v>225125.82</v>
      </c>
      <c r="F110" s="29">
        <v>-14521844.219999999</v>
      </c>
      <c r="G110" s="30">
        <f t="shared" si="44"/>
        <v>255223389.74499902</v>
      </c>
      <c r="H110" s="26" t="s">
        <v>2272</v>
      </c>
    </row>
    <row r="111" spans="1:11">
      <c r="A111" s="27">
        <v>45646</v>
      </c>
      <c r="B111" s="28">
        <f t="shared" si="56"/>
        <v>255223389.74499902</v>
      </c>
      <c r="C111" s="29">
        <v>-9604324.9100000001</v>
      </c>
      <c r="D111" s="29">
        <v>5366633.63</v>
      </c>
      <c r="E111" s="29">
        <v>198911.56</v>
      </c>
      <c r="F111" s="29">
        <v>-74005991.359999999</v>
      </c>
      <c r="G111" s="30">
        <f t="shared" si="44"/>
        <v>177178618.66499901</v>
      </c>
      <c r="H111" s="26" t="s">
        <v>2281</v>
      </c>
    </row>
    <row r="112" spans="1:11">
      <c r="A112" s="27">
        <v>45647</v>
      </c>
      <c r="B112" s="28">
        <f t="shared" si="56"/>
        <v>177178618.66499901</v>
      </c>
      <c r="C112" s="29">
        <v>-1914467.4499999995</v>
      </c>
      <c r="D112" s="29">
        <v>2257571.75</v>
      </c>
      <c r="E112" s="29">
        <v>11311494.41</v>
      </c>
      <c r="F112" s="29">
        <v>-1447185.55</v>
      </c>
      <c r="G112" s="30">
        <f t="shared" si="44"/>
        <v>187386031.824999</v>
      </c>
      <c r="H112" s="26" t="s">
        <v>2295</v>
      </c>
    </row>
    <row r="113" spans="1:8">
      <c r="A113" s="27">
        <v>45648</v>
      </c>
      <c r="B113" s="28">
        <f t="shared" si="56"/>
        <v>187386031.824999</v>
      </c>
      <c r="C113" s="29">
        <v>0</v>
      </c>
      <c r="D113" s="29">
        <v>0</v>
      </c>
      <c r="E113" s="29">
        <v>0</v>
      </c>
      <c r="F113" s="29">
        <v>0</v>
      </c>
      <c r="G113" s="30">
        <f t="shared" si="44"/>
        <v>187386031.824999</v>
      </c>
    </row>
    <row r="114" spans="1:8">
      <c r="A114" s="27">
        <v>45649</v>
      </c>
      <c r="B114" s="28">
        <f t="shared" si="56"/>
        <v>187386031.824999</v>
      </c>
      <c r="C114" s="29">
        <v>0</v>
      </c>
      <c r="D114" s="29">
        <v>0</v>
      </c>
      <c r="E114" s="29">
        <v>0</v>
      </c>
      <c r="F114" s="29">
        <v>0</v>
      </c>
      <c r="G114" s="30">
        <f t="shared" si="44"/>
        <v>187386031.824999</v>
      </c>
    </row>
    <row r="115" spans="1:8">
      <c r="A115" s="27">
        <v>45650</v>
      </c>
      <c r="B115" s="28">
        <f t="shared" ref="B115" si="57">G114</f>
        <v>187386031.824999</v>
      </c>
      <c r="C115" s="29">
        <v>-2827777.5999999987</v>
      </c>
      <c r="D115" s="29">
        <v>1853822.1099999999</v>
      </c>
      <c r="E115" s="29">
        <v>1393206</v>
      </c>
      <c r="F115" s="29">
        <v>0</v>
      </c>
      <c r="G115" s="30">
        <f t="shared" si="44"/>
        <v>187805282.33499902</v>
      </c>
      <c r="H115" s="26" t="s">
        <v>2303</v>
      </c>
    </row>
    <row r="116" spans="1:8">
      <c r="A116" s="27">
        <v>45651</v>
      </c>
      <c r="B116" s="28">
        <f t="shared" ref="B116:B117" si="58">G115</f>
        <v>187805282.33499902</v>
      </c>
      <c r="C116" s="29">
        <v>0</v>
      </c>
      <c r="D116" s="29">
        <v>0</v>
      </c>
      <c r="E116" s="29">
        <v>0</v>
      </c>
      <c r="F116" s="29">
        <v>0</v>
      </c>
      <c r="G116" s="30">
        <f t="shared" si="44"/>
        <v>187805282.33499902</v>
      </c>
    </row>
    <row r="117" spans="1:8">
      <c r="A117" s="27">
        <v>45652</v>
      </c>
      <c r="B117" s="28">
        <f t="shared" si="58"/>
        <v>187805282.33499902</v>
      </c>
      <c r="C117" s="29">
        <v>-2167548.63</v>
      </c>
      <c r="D117" s="29">
        <v>5664824.7400000002</v>
      </c>
      <c r="E117" s="29">
        <v>0</v>
      </c>
      <c r="F117" s="29">
        <v>0</v>
      </c>
      <c r="G117" s="30">
        <f t="shared" si="44"/>
        <v>191302558.44499904</v>
      </c>
      <c r="H117" s="26" t="s">
        <v>2314</v>
      </c>
    </row>
    <row r="118" spans="1:8">
      <c r="A118" s="27">
        <v>45653</v>
      </c>
      <c r="B118" s="28">
        <f t="shared" ref="B118" si="59">G117</f>
        <v>191302558.44499904</v>
      </c>
      <c r="C118" s="29">
        <v>-4586493.17</v>
      </c>
      <c r="D118" s="29">
        <v>8426410.5199999996</v>
      </c>
      <c r="E118" s="29">
        <v>892770.44000000018</v>
      </c>
      <c r="F118" s="29">
        <v>-7998871.7799999993</v>
      </c>
      <c r="G118" s="30">
        <f t="shared" si="44"/>
        <v>188036374.45499906</v>
      </c>
      <c r="H118" s="26" t="s">
        <v>2319</v>
      </c>
    </row>
    <row r="119" spans="1:8">
      <c r="A119" s="27">
        <v>45654</v>
      </c>
      <c r="B119" s="28">
        <f t="shared" ref="B119:B121" si="60">G118</f>
        <v>188036374.45499906</v>
      </c>
      <c r="C119" s="29">
        <v>0</v>
      </c>
      <c r="D119" s="29">
        <v>0</v>
      </c>
      <c r="E119" s="29">
        <v>0</v>
      </c>
      <c r="F119" s="29">
        <v>0</v>
      </c>
      <c r="G119" s="30">
        <f t="shared" si="44"/>
        <v>188036374.45499906</v>
      </c>
    </row>
    <row r="120" spans="1:8">
      <c r="A120" s="27">
        <v>45655</v>
      </c>
      <c r="B120" s="28">
        <f t="shared" si="60"/>
        <v>188036374.45499906</v>
      </c>
      <c r="C120" s="29">
        <v>0</v>
      </c>
      <c r="D120" s="29">
        <v>0</v>
      </c>
      <c r="E120" s="29">
        <v>0</v>
      </c>
      <c r="F120" s="29">
        <v>0</v>
      </c>
      <c r="G120" s="30">
        <f t="shared" si="44"/>
        <v>188036374.45499906</v>
      </c>
    </row>
    <row r="121" spans="1:8">
      <c r="A121" s="27">
        <v>45656</v>
      </c>
      <c r="B121" s="28">
        <f t="shared" si="60"/>
        <v>188036374.45499906</v>
      </c>
      <c r="C121" s="29">
        <v>-2282864.17</v>
      </c>
      <c r="D121" s="29">
        <v>43279706.07</v>
      </c>
      <c r="E121" s="29">
        <v>0</v>
      </c>
      <c r="F121" s="29">
        <v>0</v>
      </c>
      <c r="G121" s="30">
        <f t="shared" si="44"/>
        <v>229033216.35499907</v>
      </c>
      <c r="H121" s="26" t="s">
        <v>2339</v>
      </c>
    </row>
    <row r="122" spans="1:8">
      <c r="A122" s="27">
        <v>45657</v>
      </c>
      <c r="B122" s="28">
        <f t="shared" ref="B122:B125" si="61">G121</f>
        <v>229033216.35499907</v>
      </c>
      <c r="C122" s="29">
        <v>-3178165.0200000005</v>
      </c>
      <c r="D122" s="29">
        <v>13931978.069999998</v>
      </c>
      <c r="E122" s="29">
        <v>17786281.039999992</v>
      </c>
      <c r="F122" s="29">
        <v>-2967679.75</v>
      </c>
      <c r="G122" s="30">
        <f t="shared" si="44"/>
        <v>254605630.69499904</v>
      </c>
      <c r="H122" s="26" t="s">
        <v>2350</v>
      </c>
    </row>
    <row r="123" spans="1:8">
      <c r="A123" s="27">
        <v>45658</v>
      </c>
      <c r="B123" s="28">
        <f t="shared" si="61"/>
        <v>254605630.69499904</v>
      </c>
      <c r="C123" s="29">
        <v>0</v>
      </c>
      <c r="D123" s="29">
        <v>0</v>
      </c>
      <c r="E123" s="29">
        <v>0</v>
      </c>
      <c r="F123" s="29">
        <v>0</v>
      </c>
      <c r="G123" s="30">
        <f t="shared" si="44"/>
        <v>254605630.69499904</v>
      </c>
    </row>
    <row r="124" spans="1:8">
      <c r="A124" s="27">
        <v>45659</v>
      </c>
      <c r="B124" s="28">
        <f t="shared" si="61"/>
        <v>254605630.69499904</v>
      </c>
      <c r="C124" s="29">
        <v>-3788097.26</v>
      </c>
      <c r="D124" s="29">
        <v>1250508.6399999999</v>
      </c>
      <c r="E124" s="29">
        <v>68152539.269999996</v>
      </c>
      <c r="F124" s="29">
        <v>-84340163.260000005</v>
      </c>
      <c r="G124" s="30">
        <f t="shared" si="44"/>
        <v>235880418.08499902</v>
      </c>
      <c r="H124" s="26" t="s">
        <v>2365</v>
      </c>
    </row>
    <row r="125" spans="1:8">
      <c r="A125" s="27">
        <v>45660</v>
      </c>
      <c r="B125" s="28">
        <f t="shared" si="61"/>
        <v>235880418.08499902</v>
      </c>
      <c r="C125" s="29">
        <v>-6663177.5</v>
      </c>
      <c r="D125" s="29">
        <v>4533657.5</v>
      </c>
      <c r="E125" s="29">
        <v>15681772.119999999</v>
      </c>
      <c r="F125" s="29">
        <v>-12441698.82</v>
      </c>
      <c r="G125" s="30">
        <f t="shared" si="44"/>
        <v>236990971.38499904</v>
      </c>
      <c r="H125" s="26" t="s">
        <v>2381</v>
      </c>
    </row>
    <row r="126" spans="1:8">
      <c r="A126" s="27">
        <v>45661</v>
      </c>
      <c r="B126" s="28">
        <f t="shared" ref="B126:B128" si="62">G125</f>
        <v>236990971.38499904</v>
      </c>
      <c r="C126" s="29">
        <v>0</v>
      </c>
      <c r="D126" s="29">
        <v>0</v>
      </c>
      <c r="E126" s="29">
        <v>0</v>
      </c>
      <c r="F126" s="29">
        <v>0</v>
      </c>
      <c r="G126" s="30">
        <f t="shared" si="44"/>
        <v>236990971.38499904</v>
      </c>
    </row>
    <row r="127" spans="1:8">
      <c r="A127" s="27">
        <v>45662</v>
      </c>
      <c r="B127" s="28">
        <f t="shared" si="62"/>
        <v>236990971.38499904</v>
      </c>
      <c r="C127" s="29">
        <v>0</v>
      </c>
      <c r="D127" s="29">
        <v>0</v>
      </c>
      <c r="E127" s="29">
        <v>0</v>
      </c>
      <c r="F127" s="29">
        <v>0</v>
      </c>
      <c r="G127" s="30">
        <f t="shared" si="44"/>
        <v>236990971.38499904</v>
      </c>
    </row>
    <row r="128" spans="1:8">
      <c r="A128" s="27">
        <v>45663</v>
      </c>
      <c r="B128" s="28">
        <f t="shared" si="62"/>
        <v>236990971.38499904</v>
      </c>
      <c r="C128" s="29">
        <v>-4305609.1500000004</v>
      </c>
      <c r="D128" s="29">
        <v>519066.61</v>
      </c>
      <c r="E128" s="29">
        <v>388707.97000000003</v>
      </c>
      <c r="F128" s="29">
        <v>-3482067.1100000003</v>
      </c>
      <c r="G128" s="30">
        <f t="shared" si="44"/>
        <v>230111069.70499903</v>
      </c>
      <c r="H128" s="26" t="s">
        <v>2390</v>
      </c>
    </row>
    <row r="129" spans="1:10">
      <c r="A129" s="27">
        <v>45664</v>
      </c>
      <c r="B129" s="28">
        <f t="shared" ref="B129" si="63">G128</f>
        <v>230111069.70499903</v>
      </c>
      <c r="C129" s="29">
        <v>-3222142.3299999982</v>
      </c>
      <c r="D129" s="29">
        <v>328431.01</v>
      </c>
      <c r="E129" s="29">
        <v>1103748.5699999996</v>
      </c>
      <c r="F129" s="29">
        <v>-1629669.68</v>
      </c>
      <c r="G129" s="30">
        <f t="shared" si="44"/>
        <v>226691437.27499902</v>
      </c>
      <c r="H129" s="26" t="s">
        <v>2400</v>
      </c>
    </row>
    <row r="130" spans="1:10">
      <c r="A130" s="27">
        <v>45665</v>
      </c>
      <c r="B130" s="28">
        <f t="shared" ref="B130" si="64">G129</f>
        <v>226691437.27499902</v>
      </c>
      <c r="C130" s="29">
        <v>-5870894.6199999992</v>
      </c>
      <c r="D130" s="29">
        <v>107175.33999999997</v>
      </c>
      <c r="E130" s="29">
        <v>190684310.59</v>
      </c>
      <c r="F130" s="29">
        <v>-3633241.57</v>
      </c>
      <c r="G130" s="30">
        <f t="shared" si="44"/>
        <v>407978787.01499903</v>
      </c>
      <c r="H130" s="26" t="s">
        <v>2404</v>
      </c>
    </row>
    <row r="131" spans="1:10">
      <c r="A131" s="27">
        <v>45666</v>
      </c>
      <c r="B131" s="28">
        <f t="shared" ref="B131" si="65">G130</f>
        <v>407978787.01499903</v>
      </c>
      <c r="C131" s="29">
        <v>-2013412.78</v>
      </c>
      <c r="D131" s="29">
        <v>1001323.31</v>
      </c>
      <c r="E131" s="29">
        <v>3567415.2699999996</v>
      </c>
      <c r="F131" s="29">
        <v>-3951148.94</v>
      </c>
      <c r="G131" s="30">
        <f t="shared" si="44"/>
        <v>406582963.87499905</v>
      </c>
      <c r="H131" s="26" t="s">
        <v>2430</v>
      </c>
    </row>
    <row r="132" spans="1:10" ht="12" customHeight="1">
      <c r="A132" s="27">
        <v>45667</v>
      </c>
      <c r="B132" s="28">
        <f t="shared" ref="B132" si="66">G131</f>
        <v>406582963.87499905</v>
      </c>
      <c r="C132" s="29">
        <v>-72478230.389999986</v>
      </c>
      <c r="D132" s="29">
        <v>1016401.21</v>
      </c>
      <c r="E132" s="29">
        <v>762364.89999999991</v>
      </c>
      <c r="F132" s="29">
        <v>-11324436.220000001</v>
      </c>
      <c r="G132" s="30">
        <f t="shared" si="44"/>
        <v>324559063.37499899</v>
      </c>
      <c r="H132" s="26" t="s">
        <v>2437</v>
      </c>
      <c r="J132" s="342"/>
    </row>
    <row r="133" spans="1:10">
      <c r="A133" s="27">
        <v>45668</v>
      </c>
      <c r="B133" s="28">
        <f t="shared" ref="B133:B134" si="67">G132</f>
        <v>324559063.37499899</v>
      </c>
      <c r="C133" s="29">
        <v>0</v>
      </c>
      <c r="D133" s="29">
        <v>0</v>
      </c>
      <c r="E133" s="29">
        <v>0</v>
      </c>
      <c r="F133" s="29">
        <v>0</v>
      </c>
      <c r="G133" s="30">
        <f t="shared" si="44"/>
        <v>324559063.37499899</v>
      </c>
    </row>
    <row r="134" spans="1:10">
      <c r="A134" s="27">
        <v>45669</v>
      </c>
      <c r="B134" s="28">
        <f t="shared" si="67"/>
        <v>324559063.37499899</v>
      </c>
      <c r="C134" s="29">
        <v>0</v>
      </c>
      <c r="D134" s="29">
        <v>0</v>
      </c>
      <c r="E134" s="29">
        <v>0</v>
      </c>
      <c r="F134" s="29">
        <v>0</v>
      </c>
      <c r="G134" s="30">
        <f t="shared" si="44"/>
        <v>324559063.37499899</v>
      </c>
    </row>
    <row r="135" spans="1:10">
      <c r="A135" s="27">
        <v>45670</v>
      </c>
      <c r="B135" s="28">
        <f t="shared" ref="B135" si="68">G134</f>
        <v>324559063.37499899</v>
      </c>
      <c r="C135" s="29">
        <v>-1573759.6899999997</v>
      </c>
      <c r="D135" s="29">
        <v>958254.12</v>
      </c>
      <c r="E135" s="29">
        <v>0</v>
      </c>
      <c r="F135" s="29">
        <v>0</v>
      </c>
      <c r="G135" s="30">
        <f t="shared" si="44"/>
        <v>323943557.80499899</v>
      </c>
    </row>
    <row r="136" spans="1:10">
      <c r="A136" s="27">
        <v>45671</v>
      </c>
      <c r="B136" s="28">
        <f t="shared" ref="B136" si="69">G135</f>
        <v>323943557.80499899</v>
      </c>
      <c r="C136" s="29">
        <v>-12002550.84</v>
      </c>
      <c r="D136" s="29">
        <v>1819680.38</v>
      </c>
      <c r="E136" s="29">
        <v>6725459.120000001</v>
      </c>
      <c r="F136" s="29">
        <v>-368449.21</v>
      </c>
      <c r="G136" s="30">
        <f t="shared" si="44"/>
        <v>320117697.25499904</v>
      </c>
      <c r="H136" s="26" t="s">
        <v>2448</v>
      </c>
    </row>
    <row r="137" spans="1:10">
      <c r="A137" s="27">
        <v>45672</v>
      </c>
      <c r="B137" s="28">
        <f t="shared" ref="B137" si="70">G136</f>
        <v>320117697.25499904</v>
      </c>
      <c r="C137" s="29">
        <v>-3504835.0699999994</v>
      </c>
      <c r="D137" s="29">
        <v>507314.07</v>
      </c>
      <c r="E137" s="29">
        <v>971219.78</v>
      </c>
      <c r="F137" s="29">
        <v>-51380993.829999998</v>
      </c>
      <c r="G137" s="30">
        <f t="shared" si="44"/>
        <v>266710402.20499903</v>
      </c>
      <c r="H137" s="26" t="s">
        <v>2461</v>
      </c>
    </row>
    <row r="138" spans="1:10">
      <c r="A138" s="27">
        <v>45673</v>
      </c>
      <c r="B138" s="28">
        <f t="shared" ref="B138:B139" si="71">G137</f>
        <v>266710402.20499903</v>
      </c>
      <c r="C138" s="29">
        <v>-5941739.580000001</v>
      </c>
      <c r="D138" s="29">
        <v>699035.88</v>
      </c>
      <c r="E138" s="29">
        <v>28007027.420000002</v>
      </c>
      <c r="F138" s="29">
        <v>-90024015.789999992</v>
      </c>
      <c r="G138" s="30">
        <f t="shared" si="44"/>
        <v>199450710.13499901</v>
      </c>
      <c r="H138" s="26" t="s">
        <v>2481</v>
      </c>
    </row>
    <row r="139" spans="1:10">
      <c r="A139" s="27">
        <v>45674</v>
      </c>
      <c r="B139" s="28">
        <f t="shared" si="71"/>
        <v>199450710.13499901</v>
      </c>
      <c r="C139" s="29">
        <v>-5597101.8700000001</v>
      </c>
      <c r="D139" s="29">
        <v>4765950.78</v>
      </c>
      <c r="E139" s="29">
        <v>8214362.0700000003</v>
      </c>
      <c r="F139" s="29">
        <v>-5394168.0499999998</v>
      </c>
      <c r="G139" s="30">
        <f t="shared" si="44"/>
        <v>201439753.06499898</v>
      </c>
      <c r="H139" s="26" t="s">
        <v>2490</v>
      </c>
    </row>
    <row r="140" spans="1:10">
      <c r="A140" s="27">
        <v>45675</v>
      </c>
      <c r="B140" s="28">
        <f t="shared" ref="B140:B143" si="72">G139</f>
        <v>201439753.06499898</v>
      </c>
      <c r="C140" s="29">
        <v>0</v>
      </c>
      <c r="D140" s="29">
        <v>0</v>
      </c>
      <c r="E140" s="29">
        <v>0</v>
      </c>
      <c r="F140" s="29">
        <v>0</v>
      </c>
      <c r="G140" s="30">
        <f t="shared" si="44"/>
        <v>201439753.06499898</v>
      </c>
    </row>
    <row r="141" spans="1:10">
      <c r="A141" s="27">
        <v>45676</v>
      </c>
      <c r="B141" s="28">
        <f t="shared" si="72"/>
        <v>201439753.06499898</v>
      </c>
      <c r="C141" s="29">
        <v>0</v>
      </c>
      <c r="D141" s="29">
        <v>0</v>
      </c>
      <c r="E141" s="29">
        <v>0</v>
      </c>
      <c r="F141" s="29">
        <v>0</v>
      </c>
      <c r="G141" s="30">
        <f t="shared" si="44"/>
        <v>201439753.06499898</v>
      </c>
    </row>
    <row r="142" spans="1:10">
      <c r="A142" s="27">
        <v>45677</v>
      </c>
      <c r="B142" s="28">
        <f t="shared" si="72"/>
        <v>201439753.06499898</v>
      </c>
      <c r="C142" s="29">
        <v>0</v>
      </c>
      <c r="D142" s="29">
        <v>0</v>
      </c>
      <c r="E142" s="29">
        <v>0</v>
      </c>
      <c r="F142" s="29">
        <v>0</v>
      </c>
      <c r="G142" s="30">
        <f t="shared" si="44"/>
        <v>201439753.06499898</v>
      </c>
    </row>
    <row r="143" spans="1:10">
      <c r="A143" s="27">
        <v>45678</v>
      </c>
      <c r="B143" s="28">
        <f t="shared" si="72"/>
        <v>201439753.06499898</v>
      </c>
      <c r="C143" s="29">
        <v>-2336772.6899999995</v>
      </c>
      <c r="D143" s="29">
        <v>186533275.80000001</v>
      </c>
      <c r="E143" s="29">
        <v>471757.64</v>
      </c>
      <c r="F143" s="29">
        <v>-18144974.289999999</v>
      </c>
      <c r="G143" s="30">
        <f t="shared" si="44"/>
        <v>367963039.52499896</v>
      </c>
      <c r="H143" s="26" t="s">
        <v>2500</v>
      </c>
    </row>
    <row r="144" spans="1:10">
      <c r="A144" s="27">
        <v>45679</v>
      </c>
      <c r="B144" s="28">
        <f t="shared" ref="B144" si="73">G143</f>
        <v>367963039.52499896</v>
      </c>
      <c r="C144" s="29">
        <v>-1462874.4299999995</v>
      </c>
      <c r="D144" s="29">
        <v>3751080.64</v>
      </c>
      <c r="E144" s="29">
        <v>25186343.829999998</v>
      </c>
      <c r="F144" s="29">
        <v>-2885309.55</v>
      </c>
      <c r="G144" s="30">
        <f t="shared" si="44"/>
        <v>392552280.01499891</v>
      </c>
      <c r="H144" s="26" t="s">
        <v>2520</v>
      </c>
    </row>
    <row r="145" spans="1:8">
      <c r="A145" s="27">
        <v>45680</v>
      </c>
      <c r="B145" s="28">
        <f t="shared" ref="B145" si="74">G144</f>
        <v>392552280.01499891</v>
      </c>
      <c r="C145" s="29">
        <v>-4145270.3699999996</v>
      </c>
      <c r="D145" s="29">
        <v>6136774.8300000001</v>
      </c>
      <c r="E145" s="29">
        <v>478540.41000000003</v>
      </c>
      <c r="F145" s="29">
        <v>-11582295.02</v>
      </c>
      <c r="G145" s="30">
        <f t="shared" si="44"/>
        <v>383440029.86499894</v>
      </c>
      <c r="H145" s="26" t="s">
        <v>2537</v>
      </c>
    </row>
    <row r="146" spans="1:8">
      <c r="A146" s="27">
        <v>45681</v>
      </c>
      <c r="B146" s="28">
        <f t="shared" ref="B146" si="75">G145</f>
        <v>383440029.86499894</v>
      </c>
      <c r="C146" s="29">
        <v>-4370308.2099999962</v>
      </c>
      <c r="D146" s="29">
        <v>5692691.7700000005</v>
      </c>
      <c r="E146" s="29">
        <v>6107236.7000000002</v>
      </c>
      <c r="F146" s="29">
        <v>-20825324.189999998</v>
      </c>
      <c r="G146" s="30">
        <f t="shared" si="44"/>
        <v>370044325.93499893</v>
      </c>
      <c r="H146" s="26" t="s">
        <v>2551</v>
      </c>
    </row>
    <row r="147" spans="1:8">
      <c r="A147" s="27">
        <v>45682</v>
      </c>
      <c r="B147" s="28">
        <f t="shared" ref="B147:B149" si="76">G146</f>
        <v>370044325.93499893</v>
      </c>
      <c r="C147" s="29">
        <v>0</v>
      </c>
      <c r="D147" s="29">
        <v>0</v>
      </c>
      <c r="E147" s="29">
        <v>0</v>
      </c>
      <c r="F147" s="29">
        <v>0</v>
      </c>
      <c r="G147" s="30">
        <f t="shared" si="44"/>
        <v>370044325.93499893</v>
      </c>
    </row>
    <row r="148" spans="1:8">
      <c r="A148" s="27">
        <v>45683</v>
      </c>
      <c r="B148" s="28">
        <f t="shared" si="76"/>
        <v>370044325.93499893</v>
      </c>
      <c r="C148" s="29">
        <v>0</v>
      </c>
      <c r="D148" s="29">
        <v>0</v>
      </c>
      <c r="E148" s="29">
        <v>0</v>
      </c>
      <c r="F148" s="29">
        <v>0</v>
      </c>
      <c r="G148" s="30">
        <f t="shared" si="44"/>
        <v>370044325.93499893</v>
      </c>
    </row>
    <row r="149" spans="1:8">
      <c r="A149" s="27">
        <v>45684</v>
      </c>
      <c r="B149" s="28">
        <f t="shared" si="76"/>
        <v>370044325.93499893</v>
      </c>
      <c r="C149" s="29">
        <v>-2986145.1799999983</v>
      </c>
      <c r="D149" s="29">
        <v>4918090.3099999996</v>
      </c>
      <c r="E149" s="29">
        <v>46.8</v>
      </c>
      <c r="F149" s="29">
        <v>0</v>
      </c>
      <c r="G149" s="30">
        <f t="shared" si="44"/>
        <v>371976317.86499894</v>
      </c>
      <c r="H149" s="26" t="s">
        <v>2571</v>
      </c>
    </row>
    <row r="150" spans="1:8">
      <c r="A150" s="27">
        <v>45685</v>
      </c>
      <c r="B150" s="28">
        <f t="shared" ref="B150" si="77">G149</f>
        <v>371976317.86499894</v>
      </c>
      <c r="C150" s="29">
        <v>-3214138.8000000003</v>
      </c>
      <c r="D150" s="29">
        <v>3419754.4699999997</v>
      </c>
      <c r="E150" s="29">
        <v>145936.85999999999</v>
      </c>
      <c r="F150" s="29">
        <v>-594194.36</v>
      </c>
      <c r="G150" s="30">
        <f t="shared" si="44"/>
        <v>371733676.03499895</v>
      </c>
      <c r="H150" s="26" t="s">
        <v>2575</v>
      </c>
    </row>
    <row r="151" spans="1:8">
      <c r="A151" s="27">
        <v>45686</v>
      </c>
      <c r="B151" s="28">
        <f t="shared" ref="B151" si="78">G150</f>
        <v>371733676.03499895</v>
      </c>
      <c r="C151" s="29">
        <v>-2722495.94</v>
      </c>
      <c r="D151" s="29">
        <v>11792291.52</v>
      </c>
      <c r="E151" s="29">
        <v>34489343.399999991</v>
      </c>
      <c r="F151" s="29">
        <v>-110590.93</v>
      </c>
      <c r="G151" s="30">
        <f t="shared" si="44"/>
        <v>415182224.08499891</v>
      </c>
      <c r="H151" s="26" t="s">
        <v>2580</v>
      </c>
    </row>
    <row r="152" spans="1:8">
      <c r="A152" s="27">
        <v>45687</v>
      </c>
      <c r="B152" s="28">
        <f t="shared" ref="B152:B153" si="79">G151</f>
        <v>415182224.08499891</v>
      </c>
      <c r="C152" s="29">
        <v>-2993661.6800000011</v>
      </c>
      <c r="D152" s="29">
        <v>2576831.2799999998</v>
      </c>
      <c r="E152" s="29">
        <v>658085.71000000008</v>
      </c>
      <c r="F152" s="29">
        <v>-957860.09000000008</v>
      </c>
      <c r="G152" s="30">
        <f t="shared" si="44"/>
        <v>414465619.30499887</v>
      </c>
      <c r="H152" s="26" t="s">
        <v>2596</v>
      </c>
    </row>
    <row r="153" spans="1:8">
      <c r="A153" s="27">
        <v>45688</v>
      </c>
      <c r="B153" s="28">
        <f t="shared" si="79"/>
        <v>414465619.30499887</v>
      </c>
      <c r="C153" s="29">
        <v>-3995496.03</v>
      </c>
      <c r="D153" s="29">
        <v>-257876453.88999999</v>
      </c>
      <c r="E153" s="29">
        <v>126999736.34999999</v>
      </c>
      <c r="F153" s="29">
        <v>-83877905.909999996</v>
      </c>
      <c r="G153" s="30">
        <f t="shared" si="44"/>
        <v>195715499.82499894</v>
      </c>
      <c r="H153" s="26" t="s">
        <v>2601</v>
      </c>
    </row>
    <row r="154" spans="1:8">
      <c r="A154" s="27">
        <v>45689</v>
      </c>
      <c r="B154" s="28">
        <f t="shared" ref="B154:B156" si="80">G153</f>
        <v>195715499.82499894</v>
      </c>
      <c r="C154" s="29">
        <v>0</v>
      </c>
      <c r="D154" s="29">
        <v>0</v>
      </c>
      <c r="E154" s="29">
        <v>0</v>
      </c>
      <c r="F154" s="29">
        <v>0</v>
      </c>
      <c r="G154" s="30">
        <f t="shared" si="44"/>
        <v>195715499.82499894</v>
      </c>
    </row>
    <row r="155" spans="1:8">
      <c r="A155" s="27">
        <v>45690</v>
      </c>
      <c r="B155" s="28">
        <f t="shared" si="80"/>
        <v>195715499.82499894</v>
      </c>
      <c r="C155" s="29">
        <v>0</v>
      </c>
      <c r="D155" s="29">
        <v>0</v>
      </c>
      <c r="E155" s="29">
        <v>0</v>
      </c>
      <c r="F155" s="29">
        <v>0</v>
      </c>
      <c r="G155" s="30">
        <f t="shared" ref="G155:G218" si="81">SUM(B155:F155)</f>
        <v>195715499.82499894</v>
      </c>
    </row>
    <row r="156" spans="1:8">
      <c r="A156" s="27">
        <v>45691</v>
      </c>
      <c r="B156" s="28">
        <f t="shared" si="80"/>
        <v>195715499.82499894</v>
      </c>
      <c r="C156" s="29">
        <v>-2325284.5099999993</v>
      </c>
      <c r="D156" s="29">
        <v>12118854.939999999</v>
      </c>
      <c r="E156" s="29">
        <v>75332670.329999998</v>
      </c>
      <c r="F156" s="29">
        <v>-384990.9</v>
      </c>
      <c r="G156" s="30">
        <f t="shared" si="81"/>
        <v>280456749.68499899</v>
      </c>
      <c r="H156" s="26" t="s">
        <v>2621</v>
      </c>
    </row>
    <row r="157" spans="1:8">
      <c r="A157" s="27">
        <v>45692</v>
      </c>
      <c r="B157" s="28">
        <f t="shared" ref="B157" si="82">G156</f>
        <v>280456749.68499899</v>
      </c>
      <c r="C157" s="29">
        <v>-11184673.810000001</v>
      </c>
      <c r="D157" s="29">
        <v>913269.42</v>
      </c>
      <c r="E157" s="29">
        <v>17613249.720000006</v>
      </c>
      <c r="F157" s="29">
        <v>-12938613.389999999</v>
      </c>
      <c r="G157" s="30">
        <f t="shared" si="81"/>
        <v>274859981.62499905</v>
      </c>
      <c r="H157" s="26" t="s">
        <v>2642</v>
      </c>
    </row>
    <row r="158" spans="1:8">
      <c r="A158" s="27">
        <v>45693</v>
      </c>
      <c r="B158" s="28">
        <f t="shared" ref="B158" si="83">G157</f>
        <v>274859981.62499905</v>
      </c>
      <c r="C158" s="29">
        <v>0</v>
      </c>
      <c r="D158" s="29">
        <v>2338241.48</v>
      </c>
      <c r="E158" s="29">
        <v>26958104.080000002</v>
      </c>
      <c r="F158" s="29">
        <v>-1955987.33</v>
      </c>
      <c r="G158" s="30">
        <f t="shared" si="81"/>
        <v>302200339.85499907</v>
      </c>
      <c r="H158" s="26" t="s">
        <v>2664</v>
      </c>
    </row>
    <row r="159" spans="1:8">
      <c r="A159" s="27">
        <v>45694</v>
      </c>
      <c r="B159" s="28">
        <f t="shared" ref="B159" si="84">G158</f>
        <v>302200339.85499907</v>
      </c>
      <c r="C159" s="29">
        <v>-16262332.07</v>
      </c>
      <c r="D159" s="29">
        <v>1639610.23</v>
      </c>
      <c r="E159" s="29">
        <v>6795410.4100000001</v>
      </c>
      <c r="F159" s="29">
        <v>-833845.8</v>
      </c>
      <c r="G159" s="30">
        <f t="shared" si="81"/>
        <v>293539182.62499911</v>
      </c>
      <c r="H159" s="26" t="s">
        <v>2672</v>
      </c>
    </row>
    <row r="160" spans="1:8">
      <c r="A160" s="27">
        <v>45695</v>
      </c>
      <c r="B160" s="28">
        <f t="shared" ref="B160" si="85">G159</f>
        <v>293539182.62499911</v>
      </c>
      <c r="C160" s="29">
        <v>-3525383.8000000017</v>
      </c>
      <c r="D160" s="29">
        <v>7463565.79</v>
      </c>
      <c r="E160" s="29">
        <v>237141166.34</v>
      </c>
      <c r="F160" s="29">
        <v>-39764957.870000005</v>
      </c>
      <c r="G160" s="30">
        <f t="shared" si="81"/>
        <v>494853573.08499908</v>
      </c>
      <c r="H160" s="26" t="s">
        <v>2690</v>
      </c>
    </row>
    <row r="161" spans="1:8">
      <c r="A161" s="27">
        <v>45696</v>
      </c>
      <c r="B161" s="28">
        <f t="shared" ref="B161:B162" si="86">G160</f>
        <v>494853573.08499908</v>
      </c>
      <c r="C161" s="29">
        <v>0</v>
      </c>
      <c r="D161" s="29">
        <v>0</v>
      </c>
      <c r="E161" s="29">
        <v>0</v>
      </c>
      <c r="F161" s="29">
        <v>0</v>
      </c>
      <c r="G161" s="30">
        <f t="shared" si="81"/>
        <v>494853573.08499908</v>
      </c>
    </row>
    <row r="162" spans="1:8">
      <c r="A162" s="27">
        <v>45697</v>
      </c>
      <c r="B162" s="28">
        <f t="shared" si="86"/>
        <v>494853573.08499908</v>
      </c>
      <c r="C162" s="29">
        <v>0</v>
      </c>
      <c r="D162" s="29">
        <v>0</v>
      </c>
      <c r="E162" s="29">
        <v>0</v>
      </c>
      <c r="F162" s="29">
        <v>0</v>
      </c>
      <c r="G162" s="30">
        <f t="shared" si="81"/>
        <v>494853573.08499908</v>
      </c>
    </row>
    <row r="163" spans="1:8">
      <c r="A163" s="27">
        <v>45698</v>
      </c>
      <c r="B163" s="28">
        <f t="shared" ref="B163" si="87">G162</f>
        <v>494853573.08499908</v>
      </c>
      <c r="C163" s="29">
        <v>0</v>
      </c>
      <c r="D163" s="29">
        <v>579591.61</v>
      </c>
      <c r="E163" s="29">
        <v>0</v>
      </c>
      <c r="F163" s="29">
        <v>0</v>
      </c>
      <c r="G163" s="30">
        <f t="shared" si="81"/>
        <v>495433164.6949991</v>
      </c>
    </row>
    <row r="164" spans="1:8">
      <c r="A164" s="27">
        <v>45699</v>
      </c>
      <c r="B164" s="28">
        <f t="shared" ref="B164" si="88">G163</f>
        <v>495433164.6949991</v>
      </c>
      <c r="C164" s="29">
        <v>-67702.03</v>
      </c>
      <c r="D164" s="29">
        <v>10865579.100000001</v>
      </c>
      <c r="E164" s="29">
        <v>8040826.9399999985</v>
      </c>
      <c r="F164" s="29">
        <v>-3346702.63</v>
      </c>
      <c r="G164" s="30">
        <f t="shared" si="81"/>
        <v>510925166.07499915</v>
      </c>
      <c r="H164" s="26" t="s">
        <v>2726</v>
      </c>
    </row>
    <row r="165" spans="1:8">
      <c r="A165" s="27">
        <v>45700</v>
      </c>
      <c r="B165" s="28">
        <f t="shared" ref="B165:B167" si="89">G164</f>
        <v>510925166.07499915</v>
      </c>
      <c r="C165" s="29">
        <v>0</v>
      </c>
      <c r="D165" s="29">
        <v>0</v>
      </c>
      <c r="E165" s="29">
        <v>0</v>
      </c>
      <c r="F165" s="29">
        <v>0</v>
      </c>
      <c r="G165" s="30">
        <f t="shared" si="81"/>
        <v>510925166.07499915</v>
      </c>
    </row>
    <row r="166" spans="1:8">
      <c r="A166" s="27">
        <v>45701</v>
      </c>
      <c r="B166" s="28">
        <f t="shared" si="89"/>
        <v>510925166.07499915</v>
      </c>
      <c r="C166" s="29">
        <v>-90706650.679999992</v>
      </c>
      <c r="D166" s="29">
        <v>2217783.6</v>
      </c>
      <c r="E166" s="29">
        <v>6051100.25</v>
      </c>
      <c r="F166" s="29">
        <v>-91561133.879999995</v>
      </c>
      <c r="G166" s="30">
        <f t="shared" si="81"/>
        <v>336926265.36499918</v>
      </c>
      <c r="H166" s="26" t="s">
        <v>2734</v>
      </c>
    </row>
    <row r="167" spans="1:8">
      <c r="A167" s="27">
        <v>45702</v>
      </c>
      <c r="B167" s="28">
        <f t="shared" si="89"/>
        <v>336926265.36499918</v>
      </c>
      <c r="C167" s="29">
        <v>-2559960.4300000002</v>
      </c>
      <c r="D167" s="29">
        <v>2740131.98</v>
      </c>
      <c r="E167" s="29">
        <v>0</v>
      </c>
      <c r="F167" s="29">
        <v>0</v>
      </c>
      <c r="G167" s="30">
        <f t="shared" si="81"/>
        <v>337106436.91499919</v>
      </c>
      <c r="H167" s="26" t="s">
        <v>2761</v>
      </c>
    </row>
    <row r="168" spans="1:8">
      <c r="A168" s="27">
        <v>45703</v>
      </c>
      <c r="B168" s="28">
        <f t="shared" ref="B168:B171" si="90">G167</f>
        <v>337106436.91499919</v>
      </c>
      <c r="C168" s="29">
        <v>0</v>
      </c>
      <c r="D168" s="29">
        <v>0</v>
      </c>
      <c r="E168" s="29">
        <v>0</v>
      </c>
      <c r="F168" s="29">
        <v>0</v>
      </c>
      <c r="G168" s="30">
        <f t="shared" si="81"/>
        <v>337106436.91499919</v>
      </c>
    </row>
    <row r="169" spans="1:8">
      <c r="A169" s="27">
        <v>45704</v>
      </c>
      <c r="B169" s="28">
        <f t="shared" si="90"/>
        <v>337106436.91499919</v>
      </c>
      <c r="C169" s="29">
        <v>0</v>
      </c>
      <c r="D169" s="29">
        <v>0</v>
      </c>
      <c r="E169" s="29">
        <v>0</v>
      </c>
      <c r="F169" s="29">
        <v>0</v>
      </c>
      <c r="G169" s="30">
        <f t="shared" si="81"/>
        <v>337106436.91499919</v>
      </c>
    </row>
    <row r="170" spans="1:8">
      <c r="A170" s="27">
        <v>45705</v>
      </c>
      <c r="B170" s="28">
        <f t="shared" si="90"/>
        <v>337106436.91499919</v>
      </c>
      <c r="C170" s="29">
        <v>0</v>
      </c>
      <c r="D170" s="29">
        <v>0</v>
      </c>
      <c r="E170" s="29">
        <v>0</v>
      </c>
      <c r="F170" s="29">
        <v>0</v>
      </c>
      <c r="G170" s="30">
        <f t="shared" si="81"/>
        <v>337106436.91499919</v>
      </c>
    </row>
    <row r="171" spans="1:8">
      <c r="A171" s="27">
        <v>45706</v>
      </c>
      <c r="B171" s="28">
        <f t="shared" si="90"/>
        <v>337106436.91499919</v>
      </c>
      <c r="C171" s="29">
        <v>-2035649.9700000004</v>
      </c>
      <c r="D171" s="29">
        <v>26438470.250000004</v>
      </c>
      <c r="E171" s="29">
        <v>0</v>
      </c>
      <c r="F171" s="29">
        <v>0</v>
      </c>
      <c r="G171" s="30">
        <f t="shared" si="81"/>
        <v>361509257.19499916</v>
      </c>
      <c r="H171" s="26" t="s">
        <v>2764</v>
      </c>
    </row>
    <row r="172" spans="1:8">
      <c r="A172" s="27">
        <v>45707</v>
      </c>
      <c r="B172" s="28">
        <f t="shared" ref="B172" si="91">G171</f>
        <v>361509257.19499916</v>
      </c>
      <c r="C172" s="29">
        <v>-3759111.2100000004</v>
      </c>
      <c r="D172" s="29">
        <v>2555412.44</v>
      </c>
      <c r="E172" s="29">
        <v>18997265.460000008</v>
      </c>
      <c r="F172" s="29">
        <v>-21307636.920000002</v>
      </c>
      <c r="G172" s="30">
        <f t="shared" si="81"/>
        <v>357995186.96499914</v>
      </c>
      <c r="H172" s="26" t="s">
        <v>2769</v>
      </c>
    </row>
    <row r="173" spans="1:8">
      <c r="A173" s="27">
        <v>45708</v>
      </c>
      <c r="B173" s="28">
        <f t="shared" ref="B173" si="92">G172</f>
        <v>357995186.96499914</v>
      </c>
      <c r="C173" s="29">
        <v>-4960609.3200000012</v>
      </c>
      <c r="D173" s="29">
        <v>3088529.49</v>
      </c>
      <c r="E173" s="29">
        <v>2677343.9300000011</v>
      </c>
      <c r="F173" s="29">
        <v>-362842.14</v>
      </c>
      <c r="G173" s="30">
        <f t="shared" si="81"/>
        <v>358437608.92499918</v>
      </c>
      <c r="H173" s="26" t="s">
        <v>2797</v>
      </c>
    </row>
    <row r="174" spans="1:8">
      <c r="A174" s="27">
        <v>45709</v>
      </c>
      <c r="B174" s="28">
        <f t="shared" ref="B174" si="93">G173</f>
        <v>358437608.92499918</v>
      </c>
      <c r="C174" s="29">
        <v>-4786935.3</v>
      </c>
      <c r="D174" s="29">
        <v>3213178.1000000006</v>
      </c>
      <c r="E174" s="29">
        <v>561721.86000000022</v>
      </c>
      <c r="F174" s="29">
        <v>-6420640.5600000005</v>
      </c>
      <c r="G174" s="30">
        <f t="shared" si="81"/>
        <v>351004933.0249992</v>
      </c>
      <c r="H174" s="26" t="s">
        <v>2805</v>
      </c>
    </row>
    <row r="175" spans="1:8">
      <c r="A175" s="27">
        <v>45710</v>
      </c>
      <c r="B175" s="28">
        <f t="shared" ref="B175:B177" si="94">G174</f>
        <v>351004933.0249992</v>
      </c>
      <c r="C175" s="29">
        <v>0</v>
      </c>
      <c r="D175" s="29">
        <v>0</v>
      </c>
      <c r="E175" s="29">
        <v>0</v>
      </c>
      <c r="F175" s="29">
        <v>0</v>
      </c>
      <c r="G175" s="30">
        <f t="shared" si="81"/>
        <v>351004933.0249992</v>
      </c>
    </row>
    <row r="176" spans="1:8">
      <c r="A176" s="27">
        <v>45711</v>
      </c>
      <c r="B176" s="28">
        <f t="shared" si="94"/>
        <v>351004933.0249992</v>
      </c>
      <c r="C176" s="29">
        <v>0</v>
      </c>
      <c r="D176" s="29">
        <v>0</v>
      </c>
      <c r="E176" s="29">
        <v>0</v>
      </c>
      <c r="F176" s="29">
        <v>0</v>
      </c>
      <c r="G176" s="30">
        <f t="shared" si="81"/>
        <v>351004933.0249992</v>
      </c>
    </row>
    <row r="177" spans="1:8">
      <c r="A177" s="27">
        <v>45712</v>
      </c>
      <c r="B177" s="28">
        <f t="shared" si="94"/>
        <v>351004933.0249992</v>
      </c>
      <c r="C177" s="29">
        <v>-3581582.9099999988</v>
      </c>
      <c r="D177" s="29">
        <v>117022.79000000001</v>
      </c>
      <c r="E177" s="29">
        <v>23.58</v>
      </c>
      <c r="F177" s="29">
        <v>-4222599.3099999996</v>
      </c>
      <c r="G177" s="30">
        <f t="shared" si="81"/>
        <v>343317797.17499918</v>
      </c>
      <c r="H177" s="26" t="s">
        <v>2813</v>
      </c>
    </row>
    <row r="178" spans="1:8">
      <c r="A178" s="27">
        <v>45713</v>
      </c>
      <c r="B178" s="28">
        <f t="shared" ref="B178" si="95">G177</f>
        <v>343317797.17499918</v>
      </c>
      <c r="C178" s="29">
        <v>-2253302.46</v>
      </c>
      <c r="D178" s="29">
        <v>2897195.7500000005</v>
      </c>
      <c r="E178" s="29">
        <v>488293.34000000008</v>
      </c>
      <c r="F178" s="29">
        <v>-2134281.34</v>
      </c>
      <c r="G178" s="30">
        <f t="shared" si="81"/>
        <v>342315702.4649992</v>
      </c>
    </row>
    <row r="179" spans="1:8">
      <c r="A179" s="27">
        <v>45714</v>
      </c>
      <c r="B179" s="28">
        <f t="shared" ref="B179" si="96">G178</f>
        <v>342315702.4649992</v>
      </c>
      <c r="C179" s="29">
        <v>-2796763.2799999993</v>
      </c>
      <c r="D179" s="29">
        <v>728985.34000000008</v>
      </c>
      <c r="E179" s="29">
        <v>6819589.4700000025</v>
      </c>
      <c r="F179" s="29">
        <v>-15814455</v>
      </c>
      <c r="G179" s="30">
        <f t="shared" si="81"/>
        <v>331253058.99499923</v>
      </c>
      <c r="H179" s="26" t="s">
        <v>2821</v>
      </c>
    </row>
    <row r="180" spans="1:8">
      <c r="A180" s="27">
        <v>45715</v>
      </c>
      <c r="B180" s="28">
        <f t="shared" ref="B180:B181" si="97">G179</f>
        <v>331253058.99499923</v>
      </c>
      <c r="C180" s="29">
        <v>-5837246.8100000005</v>
      </c>
      <c r="D180" s="29">
        <v>13860516.239999998</v>
      </c>
      <c r="E180" s="29">
        <v>2192647.1199999996</v>
      </c>
      <c r="F180" s="29">
        <v>-72237951.070000008</v>
      </c>
      <c r="G180" s="30">
        <f t="shared" si="81"/>
        <v>269231024.47499925</v>
      </c>
      <c r="H180" s="26" t="s">
        <v>2833</v>
      </c>
    </row>
    <row r="181" spans="1:8">
      <c r="A181" s="27">
        <v>45716</v>
      </c>
      <c r="B181" s="28">
        <f t="shared" si="97"/>
        <v>269231024.47499925</v>
      </c>
      <c r="C181" s="29">
        <v>-1827558.41</v>
      </c>
      <c r="D181" s="29">
        <v>5650299.6999999993</v>
      </c>
      <c r="E181" s="29">
        <v>40491415.149999999</v>
      </c>
      <c r="F181" s="29">
        <v>-4193954.8000000003</v>
      </c>
      <c r="G181" s="30">
        <f t="shared" si="81"/>
        <v>309351226.11499923</v>
      </c>
      <c r="H181" s="26" t="s">
        <v>2845</v>
      </c>
    </row>
    <row r="182" spans="1:8">
      <c r="A182" s="27">
        <v>45717</v>
      </c>
      <c r="B182" s="28">
        <f t="shared" ref="B182:B184" si="98">G181</f>
        <v>309351226.11499923</v>
      </c>
      <c r="C182" s="29">
        <v>0</v>
      </c>
      <c r="D182" s="29">
        <v>0</v>
      </c>
      <c r="E182" s="29">
        <v>0</v>
      </c>
      <c r="F182" s="29">
        <v>0</v>
      </c>
      <c r="G182" s="30">
        <f t="shared" si="81"/>
        <v>309351226.11499923</v>
      </c>
    </row>
    <row r="183" spans="1:8">
      <c r="A183" s="27">
        <v>45718</v>
      </c>
      <c r="B183" s="28">
        <f t="shared" si="98"/>
        <v>309351226.11499923</v>
      </c>
      <c r="C183" s="29">
        <v>0</v>
      </c>
      <c r="D183" s="29">
        <v>0</v>
      </c>
      <c r="E183" s="29">
        <v>0</v>
      </c>
      <c r="F183" s="29">
        <v>0</v>
      </c>
      <c r="G183" s="30">
        <f t="shared" si="81"/>
        <v>309351226.11499923</v>
      </c>
    </row>
    <row r="184" spans="1:8">
      <c r="A184" s="27">
        <v>45719</v>
      </c>
      <c r="B184" s="28">
        <f t="shared" si="98"/>
        <v>309351226.11499923</v>
      </c>
      <c r="C184" s="29">
        <v>-2868815.66</v>
      </c>
      <c r="D184" s="29">
        <v>8942657.5700000003</v>
      </c>
      <c r="E184" s="29">
        <v>5462706.8999999994</v>
      </c>
      <c r="F184" s="29">
        <v>-1930011.42</v>
      </c>
      <c r="G184" s="30">
        <f t="shared" si="81"/>
        <v>318957763.50499916</v>
      </c>
      <c r="H184" s="26" t="s">
        <v>2860</v>
      </c>
    </row>
    <row r="185" spans="1:8">
      <c r="A185" s="27">
        <v>45720</v>
      </c>
      <c r="B185" s="28">
        <f t="shared" ref="B185" si="99">G184</f>
        <v>318957763.50499916</v>
      </c>
      <c r="C185" s="29">
        <v>-2540425.35</v>
      </c>
      <c r="D185" s="29">
        <v>3140557.14</v>
      </c>
      <c r="E185" s="29">
        <v>54797768.269999988</v>
      </c>
      <c r="F185" s="29">
        <v>-4898309.38</v>
      </c>
      <c r="G185" s="30">
        <f t="shared" si="81"/>
        <v>369457354.18499911</v>
      </c>
      <c r="H185" s="26" t="s">
        <v>2870</v>
      </c>
    </row>
    <row r="186" spans="1:8">
      <c r="A186" s="27">
        <v>45721</v>
      </c>
      <c r="B186" s="28">
        <f t="shared" ref="B186" si="100">G185</f>
        <v>369457354.18499911</v>
      </c>
      <c r="C186" s="29">
        <v>-4170222.6099999994</v>
      </c>
      <c r="D186" s="29">
        <v>368034.16</v>
      </c>
      <c r="E186" s="29">
        <v>78372.75</v>
      </c>
      <c r="F186" s="29">
        <v>-30172531.879999999</v>
      </c>
      <c r="G186" s="30">
        <f t="shared" si="81"/>
        <v>335561006.60499913</v>
      </c>
      <c r="H186" s="26" t="s">
        <v>2892</v>
      </c>
    </row>
    <row r="187" spans="1:8">
      <c r="A187" s="27">
        <v>45722</v>
      </c>
      <c r="B187" s="28">
        <f t="shared" ref="B187" si="101">G186</f>
        <v>335561006.60499913</v>
      </c>
      <c r="C187" s="29">
        <v>-12044645.159999996</v>
      </c>
      <c r="D187" s="29">
        <v>6328158.04</v>
      </c>
      <c r="E187" s="29">
        <v>7199106.3699999992</v>
      </c>
      <c r="F187" s="29">
        <v>-3312651.34</v>
      </c>
      <c r="G187" s="30">
        <f t="shared" si="81"/>
        <v>333730974.51499915</v>
      </c>
      <c r="H187" s="26" t="s">
        <v>2899</v>
      </c>
    </row>
    <row r="188" spans="1:8">
      <c r="A188" s="27">
        <v>45723</v>
      </c>
      <c r="B188" s="28">
        <f t="shared" ref="B188" si="102">G187</f>
        <v>333730974.51499915</v>
      </c>
      <c r="C188" s="29">
        <v>-7804208.9299999988</v>
      </c>
      <c r="D188" s="29">
        <v>1000591.1200000001</v>
      </c>
      <c r="E188" s="29">
        <v>63037.7</v>
      </c>
      <c r="F188" s="29">
        <v>-47377678.469999999</v>
      </c>
      <c r="G188" s="30">
        <f t="shared" si="81"/>
        <v>279612715.93499911</v>
      </c>
      <c r="H188" s="26" t="s">
        <v>2918</v>
      </c>
    </row>
    <row r="189" spans="1:8">
      <c r="A189" s="27">
        <v>45724</v>
      </c>
      <c r="B189" s="28">
        <f t="shared" ref="B189:B191" si="103">G188</f>
        <v>279612715.93499911</v>
      </c>
      <c r="C189" s="29">
        <v>0</v>
      </c>
      <c r="D189" s="29">
        <v>0</v>
      </c>
      <c r="E189" s="29">
        <v>0</v>
      </c>
      <c r="F189" s="29">
        <v>0</v>
      </c>
      <c r="G189" s="30">
        <f t="shared" si="81"/>
        <v>279612715.93499911</v>
      </c>
    </row>
    <row r="190" spans="1:8">
      <c r="A190" s="27">
        <v>45725</v>
      </c>
      <c r="B190" s="28">
        <f t="shared" si="103"/>
        <v>279612715.93499911</v>
      </c>
      <c r="C190" s="29">
        <v>0</v>
      </c>
      <c r="D190" s="29">
        <v>0</v>
      </c>
      <c r="E190" s="29">
        <v>0</v>
      </c>
      <c r="F190" s="29">
        <v>0</v>
      </c>
      <c r="G190" s="30">
        <f t="shared" si="81"/>
        <v>279612715.93499911</v>
      </c>
    </row>
    <row r="191" spans="1:8">
      <c r="A191" s="27">
        <v>45726</v>
      </c>
      <c r="B191" s="28">
        <f t="shared" si="103"/>
        <v>279612715.93499911</v>
      </c>
      <c r="C191" s="29">
        <v>-2393943.8199999998</v>
      </c>
      <c r="D191" s="29">
        <v>4581810.3</v>
      </c>
      <c r="E191" s="29">
        <v>0</v>
      </c>
      <c r="F191" s="29">
        <v>0</v>
      </c>
      <c r="G191" s="30">
        <f t="shared" si="81"/>
        <v>281800582.41499913</v>
      </c>
      <c r="H191" s="26" t="s">
        <v>2928</v>
      </c>
    </row>
    <row r="192" spans="1:8">
      <c r="A192" s="27">
        <v>45727</v>
      </c>
      <c r="B192" s="28">
        <f t="shared" ref="B192" si="104">G191</f>
        <v>281800582.41499913</v>
      </c>
      <c r="C192" s="29">
        <v>-4428625.4000000013</v>
      </c>
      <c r="D192" s="29">
        <v>1116955.44</v>
      </c>
      <c r="E192" s="29">
        <v>255286.47</v>
      </c>
      <c r="F192" s="29">
        <v>-4215393.55</v>
      </c>
      <c r="G192" s="30">
        <f t="shared" si="81"/>
        <v>274528805.37499917</v>
      </c>
      <c r="H192" s="26" t="s">
        <v>2930</v>
      </c>
    </row>
    <row r="193" spans="1:8">
      <c r="A193" s="27">
        <v>45728</v>
      </c>
      <c r="B193" s="28">
        <f t="shared" ref="B193" si="105">G192</f>
        <v>274528805.37499917</v>
      </c>
      <c r="C193" s="29">
        <v>-1810628.06</v>
      </c>
      <c r="D193" s="29">
        <v>1516650.79</v>
      </c>
      <c r="E193" s="29">
        <v>117484.27000000003</v>
      </c>
      <c r="F193" s="29">
        <v>-1936875.81</v>
      </c>
      <c r="G193" s="30">
        <f t="shared" si="81"/>
        <v>272415436.56499916</v>
      </c>
      <c r="H193" s="26" t="s">
        <v>2936</v>
      </c>
    </row>
    <row r="194" spans="1:8">
      <c r="A194" s="27">
        <v>45729</v>
      </c>
      <c r="B194" s="28">
        <f t="shared" ref="B194:B195" si="106">G193</f>
        <v>272415436.56499916</v>
      </c>
      <c r="C194" s="29">
        <v>-3565420.4600000014</v>
      </c>
      <c r="D194" s="29">
        <v>4459895.24</v>
      </c>
      <c r="E194" s="29">
        <v>3143539.1500000004</v>
      </c>
      <c r="F194" s="29">
        <v>-73282434.109999999</v>
      </c>
      <c r="G194" s="30">
        <f t="shared" si="81"/>
        <v>203171016.38499916</v>
      </c>
      <c r="H194" s="26" t="s">
        <v>2938</v>
      </c>
    </row>
    <row r="195" spans="1:8">
      <c r="A195" s="27">
        <v>45730</v>
      </c>
      <c r="B195" s="28">
        <f t="shared" si="106"/>
        <v>203171016.38499916</v>
      </c>
      <c r="C195" s="29">
        <v>-2896584.77</v>
      </c>
      <c r="D195" s="29">
        <v>4799258.2300000004</v>
      </c>
      <c r="E195" s="29">
        <v>12992064.59</v>
      </c>
      <c r="F195" s="29">
        <v>-3859155.02</v>
      </c>
      <c r="G195" s="30">
        <f t="shared" si="81"/>
        <v>214206599.41499913</v>
      </c>
      <c r="H195" s="26" t="s">
        <v>2949</v>
      </c>
    </row>
    <row r="196" spans="1:8">
      <c r="A196" s="27">
        <v>45731</v>
      </c>
      <c r="B196" s="28">
        <f t="shared" ref="B196:B199" si="107">G195</f>
        <v>214206599.41499913</v>
      </c>
      <c r="C196" s="29">
        <v>0</v>
      </c>
      <c r="D196" s="29">
        <v>0</v>
      </c>
      <c r="E196" s="29">
        <v>0</v>
      </c>
      <c r="F196" s="29">
        <v>0</v>
      </c>
      <c r="G196" s="30">
        <f t="shared" si="81"/>
        <v>214206599.41499913</v>
      </c>
    </row>
    <row r="197" spans="1:8">
      <c r="A197" s="27">
        <v>45732</v>
      </c>
      <c r="B197" s="28">
        <f t="shared" si="107"/>
        <v>214206599.41499913</v>
      </c>
      <c r="C197" s="29">
        <v>0</v>
      </c>
      <c r="D197" s="29">
        <v>0</v>
      </c>
      <c r="E197" s="29">
        <v>0</v>
      </c>
      <c r="F197" s="29">
        <v>0</v>
      </c>
      <c r="G197" s="30">
        <f t="shared" si="81"/>
        <v>214206599.41499913</v>
      </c>
    </row>
    <row r="198" spans="1:8">
      <c r="A198" s="27">
        <v>45733</v>
      </c>
      <c r="B198" s="28">
        <f t="shared" si="107"/>
        <v>214206599.41499913</v>
      </c>
      <c r="C198" s="29">
        <v>-3064653.709999999</v>
      </c>
      <c r="D198" s="29">
        <v>8165338.4199999999</v>
      </c>
      <c r="E198" s="29">
        <v>294433.81</v>
      </c>
      <c r="F198" s="29">
        <v>-1960995.43</v>
      </c>
      <c r="G198" s="30">
        <f t="shared" si="81"/>
        <v>217640722.5049991</v>
      </c>
      <c r="H198" s="26" t="s">
        <v>2952</v>
      </c>
    </row>
    <row r="199" spans="1:8">
      <c r="A199" s="27">
        <v>45734</v>
      </c>
      <c r="B199" s="28">
        <f t="shared" si="107"/>
        <v>217640722.5049991</v>
      </c>
      <c r="C199" s="29">
        <v>-8995328.4800000004</v>
      </c>
      <c r="D199" s="29">
        <v>26949683.789999999</v>
      </c>
      <c r="E199" s="29">
        <v>1240265.55</v>
      </c>
      <c r="F199" s="29">
        <v>-527091.6</v>
      </c>
      <c r="G199" s="30">
        <f t="shared" si="81"/>
        <v>236308251.76499912</v>
      </c>
      <c r="H199" s="26" t="s">
        <v>2960</v>
      </c>
    </row>
    <row r="200" spans="1:8">
      <c r="A200" s="27">
        <v>45735</v>
      </c>
      <c r="B200" s="28">
        <f t="shared" ref="B200" si="108">G199</f>
        <v>236308251.76499912</v>
      </c>
      <c r="C200" s="29">
        <v>-1585382.3499999999</v>
      </c>
      <c r="D200" s="29">
        <v>1549663.17</v>
      </c>
      <c r="E200" s="29">
        <v>9018816.8699999992</v>
      </c>
      <c r="F200" s="29">
        <v>-132737.21</v>
      </c>
      <c r="G200" s="30">
        <f t="shared" si="81"/>
        <v>245158612.24499911</v>
      </c>
      <c r="H200" s="26" t="s">
        <v>2969</v>
      </c>
    </row>
    <row r="201" spans="1:8">
      <c r="A201" s="27">
        <v>45736</v>
      </c>
      <c r="B201" s="28">
        <f t="shared" ref="B201" si="109">G200</f>
        <v>245158612.24499911</v>
      </c>
      <c r="C201" s="29">
        <v>-1679912.1199999994</v>
      </c>
      <c r="D201" s="29">
        <v>6491417.9899999993</v>
      </c>
      <c r="E201" s="29">
        <v>931602.28999999992</v>
      </c>
      <c r="F201" s="29">
        <v>-1821843.59</v>
      </c>
      <c r="G201" s="30">
        <f t="shared" si="81"/>
        <v>249079876.8149991</v>
      </c>
      <c r="H201" s="26" t="s">
        <v>2978</v>
      </c>
    </row>
    <row r="202" spans="1:8">
      <c r="A202" s="27">
        <v>45737</v>
      </c>
      <c r="B202" s="28">
        <f t="shared" ref="B202" si="110">G201</f>
        <v>249079876.8149991</v>
      </c>
      <c r="C202" s="29">
        <v>-2445480.7699999991</v>
      </c>
      <c r="D202" s="29">
        <v>4881104.6399999997</v>
      </c>
      <c r="E202" s="29">
        <v>684817.82000000018</v>
      </c>
      <c r="F202" s="29">
        <v>-5552733.04</v>
      </c>
      <c r="G202" s="30">
        <f t="shared" si="81"/>
        <v>246647585.46499908</v>
      </c>
      <c r="H202" s="26" t="s">
        <v>2983</v>
      </c>
    </row>
    <row r="203" spans="1:8">
      <c r="A203" s="27">
        <v>45738</v>
      </c>
      <c r="B203" s="28">
        <f t="shared" ref="B203:B205" si="111">G202</f>
        <v>246647585.46499908</v>
      </c>
      <c r="C203" s="29">
        <v>0</v>
      </c>
      <c r="D203" s="29">
        <v>0</v>
      </c>
      <c r="E203" s="29">
        <v>0</v>
      </c>
      <c r="F203" s="29">
        <v>0</v>
      </c>
      <c r="G203" s="30">
        <f t="shared" si="81"/>
        <v>246647585.46499908</v>
      </c>
    </row>
    <row r="204" spans="1:8">
      <c r="A204" s="27">
        <v>45739</v>
      </c>
      <c r="B204" s="28">
        <f t="shared" si="111"/>
        <v>246647585.46499908</v>
      </c>
      <c r="C204" s="29">
        <v>0</v>
      </c>
      <c r="D204" s="29">
        <v>0</v>
      </c>
      <c r="E204" s="29">
        <v>0</v>
      </c>
      <c r="F204" s="29">
        <v>0</v>
      </c>
      <c r="G204" s="30">
        <f t="shared" si="81"/>
        <v>246647585.46499908</v>
      </c>
    </row>
    <row r="205" spans="1:8">
      <c r="A205" s="27">
        <v>45740</v>
      </c>
      <c r="B205" s="28">
        <f t="shared" si="111"/>
        <v>246647585.46499908</v>
      </c>
      <c r="C205" s="29">
        <v>-5837557.5999999978</v>
      </c>
      <c r="D205" s="29">
        <v>9446761.25</v>
      </c>
      <c r="E205" s="29">
        <v>0</v>
      </c>
      <c r="F205" s="29">
        <v>0</v>
      </c>
      <c r="G205" s="30">
        <f t="shared" si="81"/>
        <v>250256789.11499909</v>
      </c>
      <c r="H205" s="26" t="s">
        <v>2991</v>
      </c>
    </row>
    <row r="206" spans="1:8">
      <c r="A206" s="27">
        <v>45741</v>
      </c>
      <c r="B206" s="28">
        <f t="shared" ref="B206" si="112">G205</f>
        <v>250256789.11499909</v>
      </c>
      <c r="C206" s="29">
        <v>-5623353.96</v>
      </c>
      <c r="D206" s="29">
        <v>9848033.4099999983</v>
      </c>
      <c r="E206" s="29">
        <v>68693349.730000004</v>
      </c>
      <c r="F206" s="29">
        <v>-14923992.15</v>
      </c>
      <c r="G206" s="30">
        <f t="shared" si="81"/>
        <v>308250826.14499909</v>
      </c>
      <c r="H206" s="26" t="s">
        <v>2999</v>
      </c>
    </row>
    <row r="207" spans="1:8">
      <c r="A207" s="27">
        <v>45742</v>
      </c>
      <c r="B207" s="28">
        <f t="shared" ref="B207" si="113">G206</f>
        <v>308250826.14499909</v>
      </c>
      <c r="C207" s="29">
        <v>-4650895.8499999987</v>
      </c>
      <c r="D207" s="29">
        <v>6770789.6399999987</v>
      </c>
      <c r="E207" s="29">
        <v>57810.700000000004</v>
      </c>
      <c r="F207" s="29">
        <v>-80171057.910000011</v>
      </c>
      <c r="G207" s="30">
        <f t="shared" si="81"/>
        <v>230257472.72499901</v>
      </c>
      <c r="H207" s="26" t="s">
        <v>3019</v>
      </c>
    </row>
    <row r="208" spans="1:8">
      <c r="A208" s="27">
        <v>45743</v>
      </c>
      <c r="B208" s="28">
        <f t="shared" ref="B208:B209" si="114">G207</f>
        <v>230257472.72499901</v>
      </c>
      <c r="C208" s="29">
        <v>-6637302.5</v>
      </c>
      <c r="D208" s="29">
        <v>3604923.0500000003</v>
      </c>
      <c r="E208" s="29">
        <v>16112898.619999999</v>
      </c>
      <c r="F208" s="29">
        <v>-8788020.9600000009</v>
      </c>
      <c r="G208" s="30">
        <f t="shared" si="81"/>
        <v>234549970.93499902</v>
      </c>
      <c r="H208" s="26" t="s">
        <v>3031</v>
      </c>
    </row>
    <row r="209" spans="1:8">
      <c r="A209" s="27">
        <v>45744</v>
      </c>
      <c r="B209" s="28">
        <f t="shared" si="114"/>
        <v>234549970.93499902</v>
      </c>
      <c r="C209" s="29">
        <v>-3756224.64</v>
      </c>
      <c r="D209" s="29">
        <v>12418789.310000001</v>
      </c>
      <c r="E209" s="29">
        <v>245776.62</v>
      </c>
      <c r="F209" s="29">
        <v>-6332096.1799999997</v>
      </c>
      <c r="G209" s="30">
        <f t="shared" si="81"/>
        <v>237126216.04499903</v>
      </c>
      <c r="H209" s="26" t="s">
        <v>3064</v>
      </c>
    </row>
    <row r="210" spans="1:8">
      <c r="A210" s="27">
        <v>45745</v>
      </c>
      <c r="B210" s="28">
        <f t="shared" ref="B210:B212" si="115">G209</f>
        <v>237126216.04499903</v>
      </c>
      <c r="C210" s="29">
        <v>0</v>
      </c>
      <c r="D210" s="29">
        <v>0</v>
      </c>
      <c r="E210" s="29">
        <v>0</v>
      </c>
      <c r="F210" s="29">
        <v>0</v>
      </c>
      <c r="G210" s="30">
        <f t="shared" si="81"/>
        <v>237126216.04499903</v>
      </c>
    </row>
    <row r="211" spans="1:8">
      <c r="A211" s="27">
        <v>45746</v>
      </c>
      <c r="B211" s="28">
        <f t="shared" si="115"/>
        <v>237126216.04499903</v>
      </c>
      <c r="C211" s="29">
        <v>0</v>
      </c>
      <c r="D211" s="29">
        <v>0</v>
      </c>
      <c r="E211" s="29">
        <v>0</v>
      </c>
      <c r="F211" s="29">
        <v>0</v>
      </c>
      <c r="G211" s="30">
        <f t="shared" si="81"/>
        <v>237126216.04499903</v>
      </c>
    </row>
    <row r="212" spans="1:8">
      <c r="A212" s="27">
        <v>45747</v>
      </c>
      <c r="B212" s="28">
        <f t="shared" si="115"/>
        <v>237126216.04499903</v>
      </c>
      <c r="C212" s="29">
        <v>-1746533.81</v>
      </c>
      <c r="D212" s="29">
        <v>7577046.0599999996</v>
      </c>
      <c r="E212" s="29">
        <v>23139432.299999993</v>
      </c>
      <c r="F212" s="29">
        <v>-573249.34000000008</v>
      </c>
      <c r="G212" s="30">
        <f t="shared" si="81"/>
        <v>265522911.25499901</v>
      </c>
      <c r="H212" s="26" t="s">
        <v>3063</v>
      </c>
    </row>
    <row r="213" spans="1:8">
      <c r="A213" s="27">
        <v>45748</v>
      </c>
      <c r="B213" s="28">
        <f t="shared" ref="B213" si="116">G212</f>
        <v>265522911.25499901</v>
      </c>
      <c r="C213" s="29">
        <v>-5654161.5800000001</v>
      </c>
      <c r="D213" s="29">
        <v>3117835.29</v>
      </c>
      <c r="E213" s="29">
        <v>123928023.36999999</v>
      </c>
      <c r="F213" s="29">
        <v>-13993267.350000001</v>
      </c>
      <c r="G213" s="30">
        <f t="shared" si="81"/>
        <v>372921340.98499894</v>
      </c>
      <c r="H213" s="26" t="s">
        <v>3077</v>
      </c>
    </row>
    <row r="214" spans="1:8">
      <c r="A214" s="27">
        <v>45749</v>
      </c>
      <c r="B214" s="28">
        <f t="shared" ref="B214" si="117">G213</f>
        <v>372921340.98499894</v>
      </c>
      <c r="C214" s="29">
        <v>-68079794.840000004</v>
      </c>
      <c r="D214" s="29">
        <v>2408547</v>
      </c>
      <c r="E214" s="29">
        <v>1850827.5900000005</v>
      </c>
      <c r="F214" s="29">
        <v>-204864.77</v>
      </c>
      <c r="G214" s="30">
        <f t="shared" si="81"/>
        <v>308896055.9649989</v>
      </c>
      <c r="H214" s="26" t="s">
        <v>3115</v>
      </c>
    </row>
    <row r="215" spans="1:8">
      <c r="A215" s="27">
        <v>45750</v>
      </c>
      <c r="B215" s="28">
        <f t="shared" ref="B215" si="118">G214</f>
        <v>308896055.9649989</v>
      </c>
      <c r="C215" s="29">
        <v>-5535968.5300000003</v>
      </c>
      <c r="D215" s="29">
        <v>521928.16</v>
      </c>
      <c r="E215" s="29">
        <v>164430597.41999996</v>
      </c>
      <c r="F215" s="29">
        <v>-30956133.310000002</v>
      </c>
      <c r="G215" s="30">
        <f t="shared" si="81"/>
        <v>437356479.70499891</v>
      </c>
      <c r="H215" s="26" t="s">
        <v>3125</v>
      </c>
    </row>
    <row r="216" spans="1:8">
      <c r="A216" s="27">
        <v>45751</v>
      </c>
      <c r="B216" s="28">
        <f t="shared" ref="B216" si="119">G215</f>
        <v>437356479.70499891</v>
      </c>
      <c r="C216" s="29">
        <v>-3912167.66</v>
      </c>
      <c r="D216" s="29">
        <v>2088237.0200000003</v>
      </c>
      <c r="E216" s="29">
        <v>462591.53</v>
      </c>
      <c r="F216" s="29">
        <v>-3540541.8499999996</v>
      </c>
      <c r="G216" s="30">
        <f t="shared" si="81"/>
        <v>432454598.74499881</v>
      </c>
      <c r="H216" s="26" t="s">
        <v>3151</v>
      </c>
    </row>
    <row r="217" spans="1:8">
      <c r="A217" s="27">
        <v>45752</v>
      </c>
      <c r="B217" s="28">
        <f t="shared" ref="B217:B219" si="120">G216</f>
        <v>432454598.74499881</v>
      </c>
      <c r="C217" s="29">
        <v>0</v>
      </c>
      <c r="D217" s="29">
        <v>0</v>
      </c>
      <c r="E217" s="29">
        <v>0</v>
      </c>
      <c r="F217" s="29">
        <v>0</v>
      </c>
      <c r="G217" s="30">
        <f t="shared" si="81"/>
        <v>432454598.74499881</v>
      </c>
    </row>
    <row r="218" spans="1:8">
      <c r="A218" s="27">
        <v>45753</v>
      </c>
      <c r="B218" s="28">
        <f t="shared" si="120"/>
        <v>432454598.74499881</v>
      </c>
      <c r="C218" s="29">
        <v>0</v>
      </c>
      <c r="D218" s="29">
        <v>0</v>
      </c>
      <c r="E218" s="29">
        <v>0</v>
      </c>
      <c r="F218" s="29">
        <v>0</v>
      </c>
      <c r="G218" s="30">
        <f t="shared" si="81"/>
        <v>432454598.74499881</v>
      </c>
    </row>
    <row r="219" spans="1:8">
      <c r="A219" s="27">
        <v>45754</v>
      </c>
      <c r="B219" s="28">
        <f t="shared" si="120"/>
        <v>432454598.74499881</v>
      </c>
      <c r="C219" s="29">
        <v>-3766958.4999999986</v>
      </c>
      <c r="D219" s="29">
        <v>1856773.0899999999</v>
      </c>
      <c r="E219" s="29">
        <v>0</v>
      </c>
      <c r="F219" s="29">
        <v>0</v>
      </c>
      <c r="G219" s="30">
        <f t="shared" ref="G219:G269" si="121">SUM(B219:F219)</f>
        <v>430544413.33499879</v>
      </c>
      <c r="H219" s="26" t="s">
        <v>3155</v>
      </c>
    </row>
    <row r="220" spans="1:8">
      <c r="A220" s="27">
        <v>45755</v>
      </c>
      <c r="B220" s="28">
        <f t="shared" ref="B220" si="122">G219</f>
        <v>430544413.33499879</v>
      </c>
      <c r="C220" s="29">
        <v>-1952816.64</v>
      </c>
      <c r="D220" s="29">
        <v>2743060.95</v>
      </c>
      <c r="E220" s="29">
        <v>2687755.1100000003</v>
      </c>
      <c r="F220" s="29">
        <v>-87139965.059999987</v>
      </c>
      <c r="G220" s="30">
        <f t="shared" si="121"/>
        <v>346882447.6949988</v>
      </c>
      <c r="H220" s="26" t="s">
        <v>3161</v>
      </c>
    </row>
    <row r="221" spans="1:8">
      <c r="A221" s="27">
        <v>45756</v>
      </c>
      <c r="B221" s="28">
        <f t="shared" ref="B221:B222" si="123">G220</f>
        <v>346882447.6949988</v>
      </c>
      <c r="C221" s="29">
        <v>-11558124.950000003</v>
      </c>
      <c r="D221" s="29">
        <v>5022335.32</v>
      </c>
      <c r="E221" s="29">
        <v>53534.32</v>
      </c>
      <c r="F221" s="29">
        <v>-15924046.83</v>
      </c>
      <c r="G221" s="30">
        <f t="shared" si="121"/>
        <v>324476145.55499882</v>
      </c>
      <c r="H221" s="26" t="s">
        <v>3175</v>
      </c>
    </row>
    <row r="222" spans="1:8">
      <c r="A222" s="27">
        <v>45757</v>
      </c>
      <c r="B222" s="28">
        <f t="shared" si="123"/>
        <v>324476145.55499882</v>
      </c>
      <c r="C222" s="29">
        <v>-3366716.54</v>
      </c>
      <c r="D222" s="29">
        <v>1574394.29</v>
      </c>
      <c r="E222" s="29">
        <v>1406140.85</v>
      </c>
      <c r="F222" s="29">
        <v>-9937321.8599999994</v>
      </c>
      <c r="G222" s="30">
        <f t="shared" si="121"/>
        <v>314152642.29499882</v>
      </c>
      <c r="H222" s="26" t="s">
        <v>3187</v>
      </c>
    </row>
    <row r="223" spans="1:8">
      <c r="A223" s="27">
        <v>45758</v>
      </c>
      <c r="B223" s="28">
        <f t="shared" ref="B223:B228" si="124">G222</f>
        <v>314152642.29499882</v>
      </c>
      <c r="C223" s="29">
        <v>-15217220.659999998</v>
      </c>
      <c r="D223" s="29">
        <v>14747739.99</v>
      </c>
      <c r="E223" s="29">
        <v>34628275.549999997</v>
      </c>
      <c r="F223" s="29">
        <v>-623615.2699999999</v>
      </c>
      <c r="G223" s="30">
        <f t="shared" si="121"/>
        <v>347687821.90499884</v>
      </c>
      <c r="H223" s="26" t="s">
        <v>3192</v>
      </c>
    </row>
    <row r="224" spans="1:8">
      <c r="A224" s="27">
        <v>45759</v>
      </c>
      <c r="B224" s="28">
        <f t="shared" si="124"/>
        <v>347687821.90499884</v>
      </c>
      <c r="C224" s="29">
        <v>0</v>
      </c>
      <c r="D224" s="29">
        <v>0</v>
      </c>
      <c r="E224" s="29">
        <v>0</v>
      </c>
      <c r="F224" s="29">
        <v>0</v>
      </c>
      <c r="G224" s="30">
        <f t="shared" si="121"/>
        <v>347687821.90499884</v>
      </c>
    </row>
    <row r="225" spans="1:8">
      <c r="A225" s="27">
        <v>45760</v>
      </c>
      <c r="B225" s="28">
        <f t="shared" si="124"/>
        <v>347687821.90499884</v>
      </c>
      <c r="C225" s="29">
        <v>0</v>
      </c>
      <c r="D225" s="29">
        <v>0</v>
      </c>
      <c r="E225" s="29">
        <v>0</v>
      </c>
      <c r="F225" s="29">
        <v>0</v>
      </c>
      <c r="G225" s="30">
        <f t="shared" si="121"/>
        <v>347687821.90499884</v>
      </c>
    </row>
    <row r="226" spans="1:8">
      <c r="A226" s="27">
        <v>45761</v>
      </c>
      <c r="B226" s="28">
        <f t="shared" si="124"/>
        <v>347687821.90499884</v>
      </c>
      <c r="C226" s="29">
        <v>-2830897.65</v>
      </c>
      <c r="D226" s="29">
        <v>12281987.92</v>
      </c>
      <c r="E226" s="29">
        <v>167087.76999999999</v>
      </c>
      <c r="F226" s="29">
        <v>-3865742.3</v>
      </c>
      <c r="G226" s="30">
        <f t="shared" si="121"/>
        <v>353440257.64499885</v>
      </c>
      <c r="H226" s="26" t="s">
        <v>3211</v>
      </c>
    </row>
    <row r="227" spans="1:8">
      <c r="A227" s="27">
        <v>45762</v>
      </c>
      <c r="B227" s="28">
        <f t="shared" si="124"/>
        <v>353440257.64499885</v>
      </c>
      <c r="C227" s="29">
        <v>-2386666.06</v>
      </c>
      <c r="D227" s="29">
        <v>1577043.82</v>
      </c>
      <c r="E227" s="29">
        <v>586979.99</v>
      </c>
      <c r="F227" s="29">
        <v>-198149.51</v>
      </c>
      <c r="G227" s="30">
        <f t="shared" si="121"/>
        <v>353019465.88499886</v>
      </c>
      <c r="H227" s="26" t="s">
        <v>3222</v>
      </c>
    </row>
    <row r="228" spans="1:8">
      <c r="A228" s="27">
        <v>45763</v>
      </c>
      <c r="B228" s="28">
        <f t="shared" si="124"/>
        <v>353019465.88499886</v>
      </c>
      <c r="C228" s="29">
        <v>-6576935.75</v>
      </c>
      <c r="D228" s="29">
        <v>1650948.15</v>
      </c>
      <c r="E228" s="29">
        <v>3256900.41</v>
      </c>
      <c r="F228" s="29">
        <v>-24630901.690000001</v>
      </c>
      <c r="G228" s="30">
        <f t="shared" si="121"/>
        <v>326719477.00499886</v>
      </c>
      <c r="H228" s="26" t="s">
        <v>3225</v>
      </c>
    </row>
    <row r="229" spans="1:8">
      <c r="A229" s="27">
        <v>45764</v>
      </c>
      <c r="B229" s="28">
        <f t="shared" ref="B229:B235" si="125">G228</f>
        <v>326719477.00499886</v>
      </c>
      <c r="C229" s="29">
        <v>-6087390.4399999976</v>
      </c>
      <c r="D229" s="29">
        <v>6696666.8200000003</v>
      </c>
      <c r="E229" s="29">
        <v>200</v>
      </c>
      <c r="F229" s="29">
        <v>-200</v>
      </c>
      <c r="G229" s="30">
        <f t="shared" si="121"/>
        <v>327328753.38499886</v>
      </c>
      <c r="H229" s="26" t="s">
        <v>3237</v>
      </c>
    </row>
    <row r="230" spans="1:8">
      <c r="A230" s="27">
        <v>45765</v>
      </c>
      <c r="B230" s="28">
        <f t="shared" si="125"/>
        <v>327328753.38499886</v>
      </c>
      <c r="C230" s="29">
        <v>-3961489.69</v>
      </c>
      <c r="D230" s="29">
        <v>2133337.41</v>
      </c>
      <c r="E230" s="29">
        <v>44704.3</v>
      </c>
      <c r="F230" s="29">
        <v>-14968220.710000001</v>
      </c>
      <c r="G230" s="30">
        <f t="shared" si="121"/>
        <v>310577084.69499892</v>
      </c>
      <c r="H230" s="26" t="s">
        <v>3246</v>
      </c>
    </row>
    <row r="231" spans="1:8">
      <c r="A231" s="27">
        <v>45766</v>
      </c>
      <c r="B231" s="28">
        <f t="shared" si="125"/>
        <v>310577084.69499892</v>
      </c>
      <c r="C231" s="29">
        <v>0</v>
      </c>
      <c r="D231" s="29">
        <v>0</v>
      </c>
      <c r="E231" s="29">
        <v>0</v>
      </c>
      <c r="F231" s="29">
        <v>0</v>
      </c>
      <c r="G231" s="30">
        <f t="shared" si="121"/>
        <v>310577084.69499892</v>
      </c>
    </row>
    <row r="232" spans="1:8">
      <c r="A232" s="27">
        <v>45767</v>
      </c>
      <c r="B232" s="28">
        <f t="shared" si="125"/>
        <v>310577084.69499892</v>
      </c>
      <c r="C232" s="29">
        <v>0</v>
      </c>
      <c r="D232" s="29">
        <v>0</v>
      </c>
      <c r="E232" s="29">
        <v>0</v>
      </c>
      <c r="F232" s="29">
        <v>0</v>
      </c>
      <c r="G232" s="30">
        <f t="shared" si="121"/>
        <v>310577084.69499892</v>
      </c>
    </row>
    <row r="233" spans="1:8">
      <c r="A233" s="27">
        <v>45768</v>
      </c>
      <c r="B233" s="28">
        <f t="shared" si="125"/>
        <v>310577084.69499892</v>
      </c>
      <c r="C233" s="29">
        <v>-3260144.08</v>
      </c>
      <c r="D233" s="29">
        <v>183311.49</v>
      </c>
      <c r="E233" s="29">
        <v>0</v>
      </c>
      <c r="F233" s="29">
        <v>0</v>
      </c>
      <c r="G233" s="30">
        <f t="shared" si="121"/>
        <v>307500252.10499895</v>
      </c>
    </row>
    <row r="234" spans="1:8">
      <c r="A234" s="27">
        <v>45769</v>
      </c>
      <c r="B234" s="28">
        <f t="shared" si="125"/>
        <v>307500252.10499895</v>
      </c>
      <c r="C234" s="29">
        <v>-71735719.260000005</v>
      </c>
      <c r="D234" s="29">
        <v>18977038.719999999</v>
      </c>
      <c r="E234" s="29">
        <v>6356973.6600000001</v>
      </c>
      <c r="F234" s="29">
        <v>-81076224.730000004</v>
      </c>
      <c r="G234" s="30">
        <f t="shared" si="121"/>
        <v>180022320.49499893</v>
      </c>
      <c r="H234" s="26" t="s">
        <v>3252</v>
      </c>
    </row>
    <row r="235" spans="1:8">
      <c r="A235" s="27">
        <v>45770</v>
      </c>
      <c r="B235" s="28">
        <f t="shared" si="125"/>
        <v>180022320.49499893</v>
      </c>
      <c r="C235" s="29">
        <v>-1160748.57</v>
      </c>
      <c r="D235" s="29">
        <v>1519087.47</v>
      </c>
      <c r="E235" s="29">
        <v>3457811.18</v>
      </c>
      <c r="F235" s="29">
        <v>-4075414.19</v>
      </c>
      <c r="G235" s="30">
        <f t="shared" si="121"/>
        <v>179763056.38499895</v>
      </c>
      <c r="H235" s="26" t="s">
        <v>3279</v>
      </c>
    </row>
    <row r="236" spans="1:8">
      <c r="A236" s="27">
        <v>45771</v>
      </c>
      <c r="B236" s="28">
        <f t="shared" ref="B236:B250" si="126">G235</f>
        <v>179763056.38499895</v>
      </c>
      <c r="C236" s="29">
        <v>-2505449.7199999997</v>
      </c>
      <c r="D236" s="29">
        <v>16249804.039999999</v>
      </c>
      <c r="E236" s="29">
        <v>1613482.8800000004</v>
      </c>
      <c r="F236" s="29">
        <v>-3744305.1799999997</v>
      </c>
      <c r="G236" s="30">
        <f t="shared" si="121"/>
        <v>191376588.40499893</v>
      </c>
      <c r="H236" s="26" t="s">
        <v>3286</v>
      </c>
    </row>
    <row r="237" spans="1:8">
      <c r="A237" s="27">
        <v>45772</v>
      </c>
      <c r="B237" s="28">
        <f t="shared" si="126"/>
        <v>191376588.40499893</v>
      </c>
      <c r="C237" s="29">
        <v>-2027351.49</v>
      </c>
      <c r="D237" s="29">
        <v>19226261.559999999</v>
      </c>
      <c r="E237" s="29">
        <v>8821402.6500000004</v>
      </c>
      <c r="F237" s="29">
        <v>-1284608.17</v>
      </c>
      <c r="G237" s="30">
        <f t="shared" si="121"/>
        <v>216112292.95499894</v>
      </c>
      <c r="H237" s="26" t="s">
        <v>3289</v>
      </c>
    </row>
    <row r="238" spans="1:8">
      <c r="A238" s="27">
        <v>45773</v>
      </c>
      <c r="B238" s="28">
        <f t="shared" si="126"/>
        <v>216112292.95499894</v>
      </c>
      <c r="C238" s="29">
        <v>0</v>
      </c>
      <c r="D238" s="29">
        <v>0</v>
      </c>
      <c r="E238" s="29">
        <v>0</v>
      </c>
      <c r="F238" s="29">
        <v>0</v>
      </c>
      <c r="G238" s="30">
        <f t="shared" si="121"/>
        <v>216112292.95499894</v>
      </c>
    </row>
    <row r="239" spans="1:8">
      <c r="A239" s="27">
        <v>45774</v>
      </c>
      <c r="B239" s="28">
        <f t="shared" si="126"/>
        <v>216112292.95499894</v>
      </c>
      <c r="C239" s="29">
        <v>0</v>
      </c>
      <c r="D239" s="29">
        <v>0</v>
      </c>
      <c r="E239" s="29">
        <v>0</v>
      </c>
      <c r="F239" s="29">
        <v>0</v>
      </c>
      <c r="G239" s="30">
        <f t="shared" si="121"/>
        <v>216112292.95499894</v>
      </c>
    </row>
    <row r="240" spans="1:8">
      <c r="A240" s="27">
        <v>45775</v>
      </c>
      <c r="B240" s="28">
        <f t="shared" si="126"/>
        <v>216112292.95499894</v>
      </c>
      <c r="C240" s="29">
        <v>-2177917.29</v>
      </c>
      <c r="D240" s="29">
        <v>10613004.74</v>
      </c>
      <c r="E240" s="29">
        <v>173426.97</v>
      </c>
      <c r="F240" s="29">
        <v>-420822.62</v>
      </c>
      <c r="G240" s="30">
        <f t="shared" si="121"/>
        <v>224299984.75499895</v>
      </c>
      <c r="H240" s="26" t="s">
        <v>3297</v>
      </c>
    </row>
    <row r="241" spans="1:8">
      <c r="A241" s="27">
        <v>45776</v>
      </c>
      <c r="B241" s="28">
        <f t="shared" si="126"/>
        <v>224299984.75499895</v>
      </c>
      <c r="C241" s="29">
        <v>-1059417.51</v>
      </c>
      <c r="D241" s="29">
        <v>7270741.2699999996</v>
      </c>
      <c r="E241" s="29">
        <v>1182430.9099999999</v>
      </c>
      <c r="F241" s="29">
        <v>-796346.43</v>
      </c>
      <c r="G241" s="30">
        <f t="shared" si="121"/>
        <v>230897392.99499896</v>
      </c>
      <c r="H241" s="26" t="s">
        <v>3304</v>
      </c>
    </row>
    <row r="242" spans="1:8">
      <c r="A242" s="27">
        <v>45777</v>
      </c>
      <c r="B242" s="28">
        <f t="shared" si="126"/>
        <v>230897392.99499896</v>
      </c>
      <c r="C242" s="29">
        <v>-2730106.22</v>
      </c>
      <c r="D242" s="29">
        <v>20792560.850000001</v>
      </c>
      <c r="E242" s="29">
        <v>8577410.9199999999</v>
      </c>
      <c r="F242" s="29">
        <v>-12343285.35</v>
      </c>
      <c r="G242" s="30">
        <f t="shared" si="121"/>
        <v>245193973.19499895</v>
      </c>
      <c r="H242" s="26" t="s">
        <v>3308</v>
      </c>
    </row>
    <row r="243" spans="1:8">
      <c r="A243" s="27">
        <v>45778</v>
      </c>
      <c r="B243" s="28">
        <f t="shared" si="126"/>
        <v>245193973.19499895</v>
      </c>
      <c r="C243" s="29">
        <v>-1621585.63</v>
      </c>
      <c r="D243" s="29">
        <v>16189294.52</v>
      </c>
      <c r="E243" s="29">
        <v>12726758.68</v>
      </c>
      <c r="F243" s="29">
        <v>-1139794.1299999999</v>
      </c>
      <c r="G243" s="30">
        <f t="shared" si="121"/>
        <v>271348646.63499898</v>
      </c>
      <c r="H243" s="26" t="s">
        <v>3316</v>
      </c>
    </row>
    <row r="244" spans="1:8">
      <c r="A244" s="27">
        <v>45779</v>
      </c>
      <c r="B244" s="28">
        <f t="shared" si="126"/>
        <v>271348646.63499898</v>
      </c>
      <c r="C244" s="29">
        <v>-7677507.1900000004</v>
      </c>
      <c r="D244" s="29">
        <v>31304582.73</v>
      </c>
      <c r="E244" s="29">
        <v>44456.5</v>
      </c>
      <c r="F244" s="29">
        <v>-14855564.699999999</v>
      </c>
      <c r="G244" s="30">
        <f t="shared" si="121"/>
        <v>280164613.97499901</v>
      </c>
      <c r="H244" s="26" t="s">
        <v>3329</v>
      </c>
    </row>
    <row r="245" spans="1:8">
      <c r="A245" s="27">
        <v>45780</v>
      </c>
      <c r="B245" s="28">
        <f t="shared" si="126"/>
        <v>280164613.97499901</v>
      </c>
      <c r="C245" s="29">
        <v>0</v>
      </c>
      <c r="D245" s="29">
        <v>0</v>
      </c>
      <c r="E245" s="29">
        <v>0</v>
      </c>
      <c r="F245" s="29">
        <v>0</v>
      </c>
      <c r="G245" s="30">
        <f t="shared" si="121"/>
        <v>280164613.97499901</v>
      </c>
    </row>
    <row r="246" spans="1:8">
      <c r="A246" s="27">
        <v>45781</v>
      </c>
      <c r="B246" s="28">
        <f t="shared" si="126"/>
        <v>280164613.97499901</v>
      </c>
      <c r="C246" s="29">
        <v>0</v>
      </c>
      <c r="D246" s="29">
        <v>0</v>
      </c>
      <c r="E246" s="29">
        <v>0</v>
      </c>
      <c r="F246" s="29">
        <v>0</v>
      </c>
      <c r="G246" s="30">
        <f t="shared" si="121"/>
        <v>280164613.97499901</v>
      </c>
    </row>
    <row r="247" spans="1:8">
      <c r="A247" s="27">
        <v>45782</v>
      </c>
      <c r="B247" s="28">
        <f t="shared" si="126"/>
        <v>280164613.97499901</v>
      </c>
      <c r="C247" s="29">
        <v>-3273781.04</v>
      </c>
      <c r="D247" s="29">
        <v>4444071.18</v>
      </c>
      <c r="E247" s="29">
        <v>35667482.229999997</v>
      </c>
      <c r="F247" s="29">
        <v>-4338684.8600000003</v>
      </c>
      <c r="G247" s="30">
        <f t="shared" si="121"/>
        <v>312663701.484999</v>
      </c>
      <c r="H247" s="26" t="s">
        <v>3342</v>
      </c>
    </row>
    <row r="248" spans="1:8">
      <c r="A248" s="27">
        <v>45783</v>
      </c>
      <c r="B248" s="28">
        <f t="shared" si="126"/>
        <v>312663701.484999</v>
      </c>
      <c r="C248" s="29">
        <v>-684383.2</v>
      </c>
      <c r="D248" s="29">
        <v>3468537.61</v>
      </c>
      <c r="E248" s="29">
        <v>59732499.520000003</v>
      </c>
      <c r="F248" s="29">
        <v>-74144497.969999999</v>
      </c>
      <c r="G248" s="30">
        <f t="shared" si="121"/>
        <v>301035857.44499898</v>
      </c>
      <c r="H248" s="26" t="s">
        <v>3361</v>
      </c>
    </row>
    <row r="249" spans="1:8">
      <c r="A249" s="27">
        <v>45784</v>
      </c>
      <c r="B249" s="28">
        <f t="shared" si="126"/>
        <v>301035857.44499898</v>
      </c>
      <c r="C249" s="29">
        <v>-3462984.45</v>
      </c>
      <c r="D249" s="29">
        <v>2544301.61</v>
      </c>
      <c r="E249" s="29">
        <v>11006231.789999999</v>
      </c>
      <c r="F249" s="29">
        <v>-3229657.04</v>
      </c>
      <c r="G249" s="30">
        <f t="shared" si="121"/>
        <v>307893749.35499901</v>
      </c>
      <c r="H249" s="26" t="s">
        <v>3376</v>
      </c>
    </row>
    <row r="250" spans="1:8">
      <c r="A250" s="27">
        <v>45785</v>
      </c>
      <c r="B250" s="28">
        <f t="shared" si="126"/>
        <v>307893749.35499901</v>
      </c>
      <c r="C250" s="29">
        <v>-4898167.0999999996</v>
      </c>
      <c r="D250" s="29">
        <v>2803042.37</v>
      </c>
      <c r="E250" s="29">
        <v>13146504.279999999</v>
      </c>
      <c r="F250" s="29">
        <v>-2213182.0299999998</v>
      </c>
      <c r="G250" s="30">
        <f t="shared" si="121"/>
        <v>316731946.87499899</v>
      </c>
      <c r="H250" s="26" t="s">
        <v>3389</v>
      </c>
    </row>
    <row r="251" spans="1:8">
      <c r="A251" s="27">
        <v>45786</v>
      </c>
      <c r="B251" s="28">
        <f t="shared" ref="B251:B264" si="127">G250</f>
        <v>316731946.87499899</v>
      </c>
      <c r="C251" s="29">
        <v>-11969546.280000001</v>
      </c>
      <c r="D251" s="29">
        <v>521021.68</v>
      </c>
      <c r="E251" s="29">
        <v>1184156.5099999998</v>
      </c>
      <c r="F251" s="29">
        <v>-15805005.760000002</v>
      </c>
      <c r="G251" s="30">
        <f t="shared" si="121"/>
        <v>290662573.02499896</v>
      </c>
      <c r="H251" s="26" t="s">
        <v>3399</v>
      </c>
    </row>
    <row r="252" spans="1:8">
      <c r="A252" s="27">
        <v>45787</v>
      </c>
      <c r="B252" s="28">
        <f t="shared" si="127"/>
        <v>290662573.02499896</v>
      </c>
      <c r="C252" s="29">
        <v>0</v>
      </c>
      <c r="D252" s="29">
        <v>0</v>
      </c>
      <c r="E252" s="29">
        <v>0</v>
      </c>
      <c r="F252" s="29">
        <v>0</v>
      </c>
      <c r="G252" s="30">
        <f t="shared" si="121"/>
        <v>290662573.02499896</v>
      </c>
    </row>
    <row r="253" spans="1:8">
      <c r="A253" s="27">
        <v>45788</v>
      </c>
      <c r="B253" s="28">
        <f t="shared" si="127"/>
        <v>290662573.02499896</v>
      </c>
      <c r="C253" s="29">
        <v>0</v>
      </c>
      <c r="D253" s="29">
        <v>0</v>
      </c>
      <c r="E253" s="29">
        <v>0</v>
      </c>
      <c r="F253" s="29">
        <v>0</v>
      </c>
      <c r="G253" s="30">
        <f t="shared" si="121"/>
        <v>290662573.02499896</v>
      </c>
    </row>
    <row r="254" spans="1:8">
      <c r="A254" s="27">
        <v>45789</v>
      </c>
      <c r="B254" s="28">
        <f t="shared" si="127"/>
        <v>290662573.02499896</v>
      </c>
      <c r="C254" s="29">
        <v>-2041963.63</v>
      </c>
      <c r="D254" s="29">
        <v>4059987.04</v>
      </c>
      <c r="E254" s="29">
        <v>18923581.359999999</v>
      </c>
      <c r="F254" s="29">
        <v>-325527.77</v>
      </c>
      <c r="G254" s="30">
        <f t="shared" si="121"/>
        <v>311278650.02499902</v>
      </c>
      <c r="H254" s="26" t="s">
        <v>3409</v>
      </c>
    </row>
    <row r="255" spans="1:8">
      <c r="A255" s="27">
        <v>45790</v>
      </c>
      <c r="B255" s="28">
        <f t="shared" si="127"/>
        <v>311278650.02499902</v>
      </c>
      <c r="C255" s="29">
        <v>-1565143.24</v>
      </c>
      <c r="D255" s="29">
        <v>970986.57</v>
      </c>
      <c r="E255" s="29">
        <v>6414887.4199999999</v>
      </c>
      <c r="F255" s="29">
        <v>-5823122.1100000003</v>
      </c>
      <c r="G255" s="30">
        <f t="shared" si="121"/>
        <v>311276258.66499901</v>
      </c>
      <c r="H255" s="26" t="s">
        <v>3415</v>
      </c>
    </row>
    <row r="256" spans="1:8">
      <c r="A256" s="27">
        <v>45791</v>
      </c>
      <c r="B256" s="28">
        <f t="shared" si="127"/>
        <v>311276258.66499901</v>
      </c>
      <c r="C256" s="29">
        <v>-5915925.25</v>
      </c>
      <c r="D256" s="29">
        <v>2987152.47</v>
      </c>
      <c r="E256" s="29">
        <v>64889993.439999998</v>
      </c>
      <c r="F256" s="29">
        <v>-42717685.509999998</v>
      </c>
      <c r="G256" s="30">
        <f t="shared" si="121"/>
        <v>330519793.81499904</v>
      </c>
      <c r="H256" s="26" t="s">
        <v>3427</v>
      </c>
    </row>
    <row r="257" spans="1:8">
      <c r="A257" s="27">
        <v>45792</v>
      </c>
      <c r="B257" s="28">
        <f t="shared" si="127"/>
        <v>330519793.81499904</v>
      </c>
      <c r="C257" s="29">
        <v>-3240288.76</v>
      </c>
      <c r="D257" s="29">
        <v>5941283.9299999997</v>
      </c>
      <c r="E257" s="29">
        <v>88686.16</v>
      </c>
      <c r="F257" s="29">
        <v>-415053.61</v>
      </c>
      <c r="G257" s="30">
        <f t="shared" si="121"/>
        <v>332894421.53499907</v>
      </c>
      <c r="H257" s="26" t="s">
        <v>3459</v>
      </c>
    </row>
    <row r="258" spans="1:8">
      <c r="A258" s="27">
        <v>45793</v>
      </c>
      <c r="B258" s="28">
        <f t="shared" si="127"/>
        <v>332894421.53499907</v>
      </c>
      <c r="C258" s="29">
        <v>-2878365.99</v>
      </c>
      <c r="D258" s="29">
        <v>18134687.039999999</v>
      </c>
      <c r="E258" s="29">
        <v>5464955.0300000003</v>
      </c>
      <c r="F258" s="29">
        <v>-12063519.08</v>
      </c>
      <c r="G258" s="30">
        <f t="shared" si="121"/>
        <v>341552178.53499907</v>
      </c>
      <c r="H258" s="26" t="s">
        <v>3466</v>
      </c>
    </row>
    <row r="259" spans="1:8">
      <c r="A259" s="27">
        <v>45794</v>
      </c>
      <c r="B259" s="28">
        <f t="shared" si="127"/>
        <v>341552178.53499907</v>
      </c>
      <c r="C259" s="29">
        <v>0</v>
      </c>
      <c r="D259" s="29">
        <v>0</v>
      </c>
      <c r="E259" s="29">
        <v>0</v>
      </c>
      <c r="F259" s="29">
        <v>0</v>
      </c>
      <c r="G259" s="30">
        <f t="shared" si="121"/>
        <v>341552178.53499907</v>
      </c>
    </row>
    <row r="260" spans="1:8">
      <c r="A260" s="27">
        <v>45795</v>
      </c>
      <c r="B260" s="28">
        <f t="shared" si="127"/>
        <v>341552178.53499907</v>
      </c>
      <c r="C260" s="29">
        <v>0</v>
      </c>
      <c r="D260" s="29">
        <v>0</v>
      </c>
      <c r="E260" s="29">
        <v>0</v>
      </c>
      <c r="F260" s="29">
        <v>0</v>
      </c>
      <c r="G260" s="30">
        <f t="shared" si="121"/>
        <v>341552178.53499907</v>
      </c>
    </row>
    <row r="261" spans="1:8">
      <c r="A261" s="27">
        <v>45796</v>
      </c>
      <c r="B261" s="28">
        <f t="shared" si="127"/>
        <v>341552178.53499907</v>
      </c>
      <c r="C261" s="29">
        <v>-2463220.6800000002</v>
      </c>
      <c r="D261" s="29">
        <v>561979.57999999996</v>
      </c>
      <c r="E261" s="29">
        <v>1681832.97</v>
      </c>
      <c r="F261" s="29">
        <v>0</v>
      </c>
      <c r="G261" s="30">
        <f t="shared" si="121"/>
        <v>341332770.40499908</v>
      </c>
      <c r="H261" s="26" t="s">
        <v>3485</v>
      </c>
    </row>
    <row r="262" spans="1:8">
      <c r="A262" s="27">
        <v>45797</v>
      </c>
      <c r="B262" s="28">
        <f t="shared" si="127"/>
        <v>341332770.40499908</v>
      </c>
      <c r="C262" s="29">
        <v>-7531624.4199999999</v>
      </c>
      <c r="D262" s="29">
        <v>2127791.0099999998</v>
      </c>
      <c r="E262" s="29">
        <v>119527.55</v>
      </c>
      <c r="F262" s="29">
        <v>-22774882.559999999</v>
      </c>
      <c r="G262" s="30">
        <f t="shared" si="121"/>
        <v>313273581.98499906</v>
      </c>
      <c r="H262" s="26" t="s">
        <v>3490</v>
      </c>
    </row>
    <row r="263" spans="1:8">
      <c r="A263" s="27">
        <v>45798</v>
      </c>
      <c r="B263" s="28">
        <f t="shared" si="127"/>
        <v>313273581.98499906</v>
      </c>
      <c r="C263" s="29">
        <v>-2860110.95</v>
      </c>
      <c r="D263" s="29">
        <v>1371120.83</v>
      </c>
      <c r="E263" s="29">
        <v>881409.68</v>
      </c>
      <c r="F263" s="29">
        <v>-775390.23</v>
      </c>
      <c r="G263" s="30">
        <f t="shared" si="121"/>
        <v>311890611.31499904</v>
      </c>
    </row>
    <row r="264" spans="1:8">
      <c r="A264" s="27">
        <v>45799</v>
      </c>
      <c r="B264" s="28">
        <f t="shared" si="127"/>
        <v>311890611.31499904</v>
      </c>
      <c r="C264" s="29">
        <v>-3644076.78</v>
      </c>
      <c r="D264" s="29">
        <v>1001882.18</v>
      </c>
      <c r="E264" s="29">
        <v>613576.06999999995</v>
      </c>
      <c r="F264" s="29">
        <v>-73386503.280000001</v>
      </c>
      <c r="G264" s="30">
        <f t="shared" si="121"/>
        <v>236475489.50499907</v>
      </c>
      <c r="H264" s="26" t="s">
        <v>3504</v>
      </c>
    </row>
    <row r="265" spans="1:8">
      <c r="A265" s="27">
        <v>45800</v>
      </c>
      <c r="B265" s="28">
        <f>G264</f>
        <v>236475489.50499907</v>
      </c>
      <c r="C265" s="29">
        <v>-2699577.93</v>
      </c>
      <c r="D265" s="29">
        <v>1687675.74</v>
      </c>
      <c r="E265" s="29">
        <v>463318.83</v>
      </c>
      <c r="F265" s="29">
        <v>-63335.759999999995</v>
      </c>
      <c r="G265" s="30">
        <f t="shared" si="121"/>
        <v>235863570.3849991</v>
      </c>
      <c r="H265" s="26" t="s">
        <v>3509</v>
      </c>
    </row>
    <row r="266" spans="1:8">
      <c r="A266" s="27">
        <v>45801</v>
      </c>
      <c r="B266" s="28">
        <f t="shared" ref="B266:B270" si="128">G265</f>
        <v>235863570.3849991</v>
      </c>
      <c r="C266" s="29">
        <v>0</v>
      </c>
      <c r="D266" s="29">
        <v>0</v>
      </c>
      <c r="E266" s="29">
        <v>0</v>
      </c>
      <c r="F266" s="29">
        <v>0</v>
      </c>
      <c r="G266" s="30">
        <f t="shared" si="121"/>
        <v>235863570.3849991</v>
      </c>
    </row>
    <row r="267" spans="1:8">
      <c r="A267" s="27">
        <v>45802</v>
      </c>
      <c r="B267" s="28">
        <f t="shared" si="128"/>
        <v>235863570.3849991</v>
      </c>
      <c r="C267" s="29">
        <v>0</v>
      </c>
      <c r="D267" s="29">
        <v>0</v>
      </c>
      <c r="E267" s="29">
        <v>0</v>
      </c>
      <c r="F267" s="29">
        <v>0</v>
      </c>
      <c r="G267" s="30">
        <f t="shared" si="121"/>
        <v>235863570.3849991</v>
      </c>
    </row>
    <row r="268" spans="1:8">
      <c r="A268" s="27">
        <v>45803</v>
      </c>
      <c r="B268" s="28">
        <f t="shared" si="128"/>
        <v>235863570.3849991</v>
      </c>
      <c r="C268" s="29">
        <v>0</v>
      </c>
      <c r="D268" s="29">
        <v>0</v>
      </c>
      <c r="E268" s="29">
        <v>0</v>
      </c>
      <c r="F268" s="29">
        <v>0</v>
      </c>
      <c r="G268" s="30">
        <f t="shared" si="121"/>
        <v>235863570.3849991</v>
      </c>
    </row>
    <row r="269" spans="1:8">
      <c r="A269" s="27">
        <v>45804</v>
      </c>
      <c r="B269" s="28">
        <f t="shared" si="128"/>
        <v>235863570.3849991</v>
      </c>
      <c r="C269" s="29">
        <v>-2627027.79</v>
      </c>
      <c r="D269" s="29">
        <v>2215308.7400000002</v>
      </c>
      <c r="E269" s="29">
        <v>112921893.89</v>
      </c>
      <c r="F269" s="29">
        <v>-1199718.18</v>
      </c>
      <c r="G269" s="30">
        <f t="shared" si="121"/>
        <v>347174027.04499912</v>
      </c>
      <c r="H269" s="26" t="s">
        <v>3512</v>
      </c>
    </row>
    <row r="270" spans="1:8">
      <c r="A270" s="27">
        <v>45805</v>
      </c>
      <c r="B270" s="28">
        <f t="shared" si="128"/>
        <v>347174027.04499912</v>
      </c>
      <c r="C270" s="29">
        <v>-1832452.46</v>
      </c>
      <c r="D270" s="29">
        <v>9931320.4700000007</v>
      </c>
      <c r="E270" s="29">
        <v>51059187.170000002</v>
      </c>
      <c r="F270" s="29">
        <v>-2026866.23</v>
      </c>
      <c r="G270" s="30">
        <f t="shared" ref="G270:G295" si="129">SUM(B270:F270)</f>
        <v>404305215.99499917</v>
      </c>
      <c r="H270" s="26" t="s">
        <v>3516</v>
      </c>
    </row>
    <row r="271" spans="1:8">
      <c r="A271" s="27">
        <v>45806</v>
      </c>
      <c r="B271" s="28">
        <f>G270</f>
        <v>404305215.99499917</v>
      </c>
      <c r="C271" s="29">
        <v>-2125379.25</v>
      </c>
      <c r="D271" s="29">
        <v>-166474549.44</v>
      </c>
      <c r="E271" s="29">
        <v>95509.7</v>
      </c>
      <c r="F271" s="29">
        <v>-864883.67</v>
      </c>
      <c r="G271" s="30">
        <f t="shared" si="129"/>
        <v>234935913.33499917</v>
      </c>
      <c r="H271" s="26" t="s">
        <v>3527</v>
      </c>
    </row>
    <row r="272" spans="1:8">
      <c r="A272" s="27">
        <v>45807</v>
      </c>
      <c r="B272" s="28">
        <f>G271</f>
        <v>234935913.33499917</v>
      </c>
      <c r="C272" s="29">
        <v>-4613205.26</v>
      </c>
      <c r="D272" s="29">
        <v>7019915.6799999997</v>
      </c>
      <c r="E272" s="29">
        <v>10881877.539999999</v>
      </c>
      <c r="F272" s="29">
        <v>-9910039.6500000004</v>
      </c>
      <c r="G272" s="30">
        <f t="shared" si="129"/>
        <v>238314461.64499918</v>
      </c>
      <c r="H272" s="26" t="s">
        <v>3538</v>
      </c>
    </row>
    <row r="273" spans="1:8">
      <c r="A273" s="27">
        <v>45808</v>
      </c>
      <c r="B273" s="28">
        <f t="shared" ref="B273:B278" si="130">G272</f>
        <v>238314461.64499918</v>
      </c>
      <c r="C273" s="29">
        <v>0</v>
      </c>
      <c r="D273" s="29">
        <v>0</v>
      </c>
      <c r="E273" s="29">
        <v>0</v>
      </c>
      <c r="F273" s="29">
        <v>0</v>
      </c>
      <c r="G273" s="30">
        <f t="shared" si="129"/>
        <v>238314461.64499918</v>
      </c>
    </row>
    <row r="274" spans="1:8">
      <c r="A274" s="27">
        <v>45809</v>
      </c>
      <c r="B274" s="28">
        <f t="shared" si="130"/>
        <v>238314461.64499918</v>
      </c>
      <c r="C274" s="29">
        <v>0</v>
      </c>
      <c r="D274" s="29">
        <v>0</v>
      </c>
      <c r="E274" s="29">
        <v>0</v>
      </c>
      <c r="F274" s="29">
        <v>0</v>
      </c>
      <c r="G274" s="30">
        <f t="shared" si="129"/>
        <v>238314461.64499918</v>
      </c>
    </row>
    <row r="275" spans="1:8">
      <c r="A275" s="27">
        <v>45810</v>
      </c>
      <c r="B275" s="28">
        <f t="shared" si="130"/>
        <v>238314461.64499918</v>
      </c>
      <c r="C275" s="29">
        <v>-3197650.65</v>
      </c>
      <c r="D275" s="29">
        <v>28470396.149999999</v>
      </c>
      <c r="E275" s="29">
        <v>45552434.5</v>
      </c>
      <c r="F275" s="29">
        <v>-3614205.37</v>
      </c>
      <c r="G275" s="30">
        <f t="shared" si="129"/>
        <v>305525436.27499914</v>
      </c>
      <c r="H275" s="26" t="s">
        <v>3558</v>
      </c>
    </row>
    <row r="276" spans="1:8">
      <c r="A276" s="27">
        <v>45811</v>
      </c>
      <c r="B276" s="28">
        <f t="shared" si="130"/>
        <v>305525436.27499914</v>
      </c>
      <c r="C276" s="29">
        <v>-3497296.32</v>
      </c>
      <c r="D276" s="29">
        <v>1844246.78</v>
      </c>
      <c r="E276" s="29">
        <v>223002994.16999999</v>
      </c>
      <c r="F276" s="29">
        <v>-20992129.48</v>
      </c>
      <c r="G276" s="30">
        <f t="shared" si="129"/>
        <v>505883251.42499912</v>
      </c>
      <c r="H276" s="26" t="s">
        <v>3582</v>
      </c>
    </row>
    <row r="277" spans="1:8">
      <c r="A277" s="27">
        <v>45812</v>
      </c>
      <c r="B277" s="28">
        <f t="shared" si="130"/>
        <v>505883251.42499912</v>
      </c>
      <c r="C277" s="29">
        <v>-12914169.050000001</v>
      </c>
      <c r="D277" s="29">
        <v>1493581.28</v>
      </c>
      <c r="E277" s="29">
        <v>164923508.34999999</v>
      </c>
      <c r="F277" s="29">
        <v>-51622204.810000002</v>
      </c>
      <c r="G277" s="30">
        <f t="shared" si="129"/>
        <v>607763967.19499898</v>
      </c>
      <c r="H277" s="26" t="s">
        <v>3594</v>
      </c>
    </row>
    <row r="278" spans="1:8">
      <c r="A278" s="27">
        <v>45813</v>
      </c>
      <c r="B278" s="28">
        <f t="shared" si="130"/>
        <v>607763967.19499898</v>
      </c>
      <c r="C278" s="29">
        <v>-6455946.3700000001</v>
      </c>
      <c r="D278" s="29">
        <v>6606453.5499999998</v>
      </c>
      <c r="E278" s="29">
        <v>9541563.8300000001</v>
      </c>
      <c r="F278" s="29">
        <v>-72664728.549999997</v>
      </c>
      <c r="G278" s="30">
        <f t="shared" si="129"/>
        <v>544791309.65499902</v>
      </c>
      <c r="H278" s="26" t="s">
        <v>3614</v>
      </c>
    </row>
    <row r="279" spans="1:8">
      <c r="A279" s="27">
        <v>45814</v>
      </c>
      <c r="B279" s="28">
        <f t="shared" ref="B279:B292" si="131">G278</f>
        <v>544791309.65499902</v>
      </c>
      <c r="C279" s="29">
        <v>-4381114.2</v>
      </c>
      <c r="D279" s="29">
        <v>688886.25</v>
      </c>
      <c r="E279" s="29">
        <v>883009.58000000007</v>
      </c>
      <c r="F279" s="29">
        <v>-12435359.620000001</v>
      </c>
      <c r="G279" s="30">
        <f t="shared" si="129"/>
        <v>529546731.66499901</v>
      </c>
      <c r="H279" s="26" t="s">
        <v>3626</v>
      </c>
    </row>
    <row r="280" spans="1:8">
      <c r="A280" s="27">
        <v>45815</v>
      </c>
      <c r="B280" s="28">
        <f t="shared" si="131"/>
        <v>529546731.66499901</v>
      </c>
      <c r="C280" s="29">
        <v>0</v>
      </c>
      <c r="D280" s="29">
        <v>0</v>
      </c>
      <c r="E280" s="29">
        <v>0</v>
      </c>
      <c r="F280" s="29">
        <v>0</v>
      </c>
      <c r="G280" s="30">
        <f t="shared" si="129"/>
        <v>529546731.66499901</v>
      </c>
    </row>
    <row r="281" spans="1:8">
      <c r="A281" s="27">
        <v>45816</v>
      </c>
      <c r="B281" s="28">
        <f t="shared" si="131"/>
        <v>529546731.66499901</v>
      </c>
      <c r="C281" s="29">
        <v>0</v>
      </c>
      <c r="D281" s="29">
        <v>0</v>
      </c>
      <c r="E281" s="29">
        <v>0</v>
      </c>
      <c r="F281" s="29">
        <v>0</v>
      </c>
      <c r="G281" s="30">
        <f t="shared" si="129"/>
        <v>529546731.66499901</v>
      </c>
    </row>
    <row r="282" spans="1:8">
      <c r="A282" s="27">
        <v>45817</v>
      </c>
      <c r="B282" s="28">
        <f t="shared" si="131"/>
        <v>529546731.66499901</v>
      </c>
      <c r="C282" s="29">
        <v>-63578556.969999999</v>
      </c>
      <c r="D282" s="29">
        <v>21518749.030000001</v>
      </c>
      <c r="E282" s="29">
        <v>755261.24</v>
      </c>
      <c r="F282" s="29">
        <v>-1160739.03</v>
      </c>
      <c r="G282" s="30">
        <f t="shared" si="129"/>
        <v>487081445.93499899</v>
      </c>
      <c r="H282" s="26" t="s">
        <v>3635</v>
      </c>
    </row>
    <row r="283" spans="1:8">
      <c r="A283" s="27">
        <v>45818</v>
      </c>
      <c r="B283" s="28">
        <f t="shared" si="131"/>
        <v>487081445.93499899</v>
      </c>
      <c r="C283" s="29">
        <v>-6496479.8399999999</v>
      </c>
      <c r="D283" s="29">
        <v>653887.73</v>
      </c>
      <c r="E283" s="29">
        <v>1230383.54</v>
      </c>
      <c r="F283" s="29">
        <v>-581944.12</v>
      </c>
      <c r="G283" s="30">
        <f t="shared" si="129"/>
        <v>481887293.24499905</v>
      </c>
      <c r="H283" s="26" t="s">
        <v>3647</v>
      </c>
    </row>
    <row r="284" spans="1:8">
      <c r="A284" s="27">
        <v>45819</v>
      </c>
      <c r="B284" s="28">
        <f t="shared" si="131"/>
        <v>481887293.24499905</v>
      </c>
      <c r="C284" s="29">
        <v>-8985087.8699999992</v>
      </c>
      <c r="D284" s="29">
        <v>1025440.86</v>
      </c>
      <c r="E284" s="29">
        <v>1126544.68</v>
      </c>
      <c r="F284" s="29">
        <v>-1984146.46</v>
      </c>
      <c r="G284" s="30">
        <f t="shared" si="129"/>
        <v>473070044.45499909</v>
      </c>
      <c r="H284" s="26" t="s">
        <v>3651</v>
      </c>
    </row>
    <row r="285" spans="1:8">
      <c r="A285" s="27">
        <v>45820</v>
      </c>
      <c r="B285" s="28">
        <f t="shared" si="131"/>
        <v>473070044.45499909</v>
      </c>
      <c r="C285" s="29">
        <v>-4991812.2699999996</v>
      </c>
      <c r="D285" s="29">
        <v>4077703.73</v>
      </c>
      <c r="E285" s="29">
        <v>1143653.55</v>
      </c>
      <c r="F285" s="29">
        <v>-1798531.43</v>
      </c>
      <c r="G285" s="30">
        <f t="shared" si="129"/>
        <v>471501058.03499913</v>
      </c>
      <c r="H285" s="26" t="s">
        <v>3657</v>
      </c>
    </row>
    <row r="286" spans="1:8">
      <c r="A286" s="27">
        <v>45821</v>
      </c>
      <c r="B286" s="28">
        <f t="shared" si="131"/>
        <v>471501058.03499913</v>
      </c>
      <c r="C286" s="29">
        <v>-8910622.4900000002</v>
      </c>
      <c r="D286" s="29">
        <v>3285571.5</v>
      </c>
      <c r="E286" s="29">
        <v>869491.22</v>
      </c>
      <c r="F286" s="29">
        <v>-2193772.4500000002</v>
      </c>
      <c r="G286" s="30">
        <f t="shared" si="129"/>
        <v>464551725.81499916</v>
      </c>
      <c r="H286" s="26" t="s">
        <v>3667</v>
      </c>
    </row>
    <row r="287" spans="1:8">
      <c r="A287" s="27">
        <v>45822</v>
      </c>
      <c r="B287" s="28">
        <f t="shared" si="131"/>
        <v>464551725.81499916</v>
      </c>
      <c r="C287" s="29">
        <v>0</v>
      </c>
      <c r="D287" s="29">
        <v>0</v>
      </c>
      <c r="E287" s="29">
        <v>0</v>
      </c>
      <c r="F287" s="29">
        <v>0</v>
      </c>
      <c r="G287" s="30">
        <f t="shared" si="129"/>
        <v>464551725.81499916</v>
      </c>
    </row>
    <row r="288" spans="1:8">
      <c r="A288" s="27">
        <v>45823</v>
      </c>
      <c r="B288" s="28">
        <f t="shared" si="131"/>
        <v>464551725.81499916</v>
      </c>
      <c r="C288" s="29">
        <v>0</v>
      </c>
      <c r="D288" s="29">
        <v>0</v>
      </c>
      <c r="E288" s="29">
        <v>0</v>
      </c>
      <c r="F288" s="29">
        <v>0</v>
      </c>
      <c r="G288" s="30">
        <f t="shared" si="129"/>
        <v>464551725.81499916</v>
      </c>
    </row>
    <row r="289" spans="1:8">
      <c r="A289" s="27">
        <v>45824</v>
      </c>
      <c r="B289" s="28">
        <f t="shared" si="131"/>
        <v>464551725.81499916</v>
      </c>
      <c r="C289" s="29">
        <v>-1505223.59</v>
      </c>
      <c r="D289" s="29">
        <v>221551.64</v>
      </c>
      <c r="G289" s="30">
        <f t="shared" si="129"/>
        <v>463268053.86499918</v>
      </c>
    </row>
    <row r="290" spans="1:8">
      <c r="A290" s="27">
        <v>45825</v>
      </c>
      <c r="B290" s="28">
        <f t="shared" si="131"/>
        <v>463268053.86499918</v>
      </c>
      <c r="C290" s="29">
        <v>-9466086.1799999997</v>
      </c>
      <c r="D290" s="29">
        <v>18819061.379999999</v>
      </c>
      <c r="E290" s="29">
        <v>26052251.079999998</v>
      </c>
      <c r="F290" s="29">
        <v>-10872457.75</v>
      </c>
      <c r="G290" s="30">
        <f t="shared" si="129"/>
        <v>487800822.39499915</v>
      </c>
      <c r="H290" s="26" t="s">
        <v>3679</v>
      </c>
    </row>
    <row r="291" spans="1:8">
      <c r="A291" s="27">
        <v>45826</v>
      </c>
      <c r="B291" s="28">
        <f t="shared" si="131"/>
        <v>487800822.39499915</v>
      </c>
      <c r="C291" s="29">
        <v>-4316994.2</v>
      </c>
      <c r="D291" s="29">
        <v>14735013.09</v>
      </c>
      <c r="E291" s="29">
        <v>410118.98</v>
      </c>
      <c r="F291" s="29">
        <v>-19835032.359999999</v>
      </c>
      <c r="G291" s="30">
        <f t="shared" si="129"/>
        <v>478793927.90499914</v>
      </c>
      <c r="H291" s="26" t="s">
        <v>3707</v>
      </c>
    </row>
    <row r="292" spans="1:8">
      <c r="A292" s="27">
        <v>45827</v>
      </c>
      <c r="B292" s="28">
        <f t="shared" si="131"/>
        <v>478793927.90499914</v>
      </c>
      <c r="C292" s="29">
        <v>-5440317.9799999995</v>
      </c>
      <c r="D292" s="29">
        <v>12880749.109999998</v>
      </c>
      <c r="E292" s="29">
        <v>1205668.7799999998</v>
      </c>
      <c r="F292" s="29">
        <v>-1179612.8799999999</v>
      </c>
      <c r="G292" s="30">
        <f t="shared" si="129"/>
        <v>486260414.93499911</v>
      </c>
      <c r="H292" s="26" t="s">
        <v>3724</v>
      </c>
    </row>
    <row r="293" spans="1:8">
      <c r="A293" s="27">
        <v>45828</v>
      </c>
      <c r="B293" s="28">
        <f t="shared" ref="B293:B320" si="132">G292</f>
        <v>486260414.93499911</v>
      </c>
      <c r="C293" s="29">
        <v>-106378.7</v>
      </c>
      <c r="D293" s="29">
        <v>0</v>
      </c>
      <c r="E293" s="29">
        <v>0</v>
      </c>
      <c r="F293" s="29">
        <v>0</v>
      </c>
      <c r="G293" s="30">
        <f t="shared" si="129"/>
        <v>486154036.23499912</v>
      </c>
    </row>
    <row r="294" spans="1:8">
      <c r="A294" s="27">
        <v>45829</v>
      </c>
      <c r="B294" s="28">
        <f t="shared" si="132"/>
        <v>486154036.23499912</v>
      </c>
      <c r="C294" s="29">
        <v>0</v>
      </c>
      <c r="D294" s="29">
        <v>0</v>
      </c>
      <c r="E294" s="29">
        <v>0</v>
      </c>
      <c r="F294" s="29">
        <v>0</v>
      </c>
      <c r="G294" s="30">
        <f t="shared" si="129"/>
        <v>486154036.23499912</v>
      </c>
    </row>
    <row r="295" spans="1:8">
      <c r="A295" s="27">
        <v>45830</v>
      </c>
      <c r="B295" s="28">
        <f t="shared" si="132"/>
        <v>486154036.23499912</v>
      </c>
      <c r="C295" s="29">
        <v>0</v>
      </c>
      <c r="D295" s="29">
        <v>0</v>
      </c>
      <c r="E295" s="29">
        <v>0</v>
      </c>
      <c r="F295" s="29">
        <v>0</v>
      </c>
      <c r="G295" s="30">
        <f t="shared" si="129"/>
        <v>486154036.23499912</v>
      </c>
    </row>
    <row r="296" spans="1:8">
      <c r="A296" s="27">
        <v>45831</v>
      </c>
      <c r="B296" s="28">
        <f t="shared" si="132"/>
        <v>486154036.23499912</v>
      </c>
      <c r="C296" s="29">
        <v>-3277776.42</v>
      </c>
      <c r="D296" s="29">
        <v>4721309.5</v>
      </c>
      <c r="E296" s="29">
        <v>4760040.9600000018</v>
      </c>
      <c r="F296" s="29">
        <v>-79358598.429999992</v>
      </c>
      <c r="G296" s="30">
        <f t="shared" ref="G296:G378" si="133">SUM(B296:F296)</f>
        <v>412999011.84499907</v>
      </c>
      <c r="H296" s="26" t="s">
        <v>3741</v>
      </c>
    </row>
    <row r="297" spans="1:8">
      <c r="A297" s="27">
        <v>45832</v>
      </c>
      <c r="B297" s="28">
        <f t="shared" si="132"/>
        <v>412999011.84499907</v>
      </c>
      <c r="C297" s="29">
        <v>-6462570.0899999999</v>
      </c>
      <c r="D297" s="29">
        <v>1124532.7</v>
      </c>
      <c r="E297" s="29">
        <v>916917.4</v>
      </c>
      <c r="F297" s="29">
        <v>-2575007.67</v>
      </c>
      <c r="G297" s="30">
        <f t="shared" si="133"/>
        <v>406002884.18499905</v>
      </c>
      <c r="H297" s="26" t="s">
        <v>3754</v>
      </c>
    </row>
    <row r="298" spans="1:8">
      <c r="A298" s="27">
        <v>45833</v>
      </c>
      <c r="B298" s="28">
        <f t="shared" si="132"/>
        <v>406002884.18499905</v>
      </c>
      <c r="C298" s="29">
        <v>-3885785.79</v>
      </c>
      <c r="D298" s="29">
        <v>18411291.350000001</v>
      </c>
      <c r="E298" s="29">
        <v>15219953.73</v>
      </c>
      <c r="F298" s="29">
        <v>-10726289.869999999</v>
      </c>
      <c r="G298" s="30">
        <f t="shared" si="133"/>
        <v>425022053.60499907</v>
      </c>
      <c r="H298" s="26" t="s">
        <v>3766</v>
      </c>
    </row>
    <row r="299" spans="1:8">
      <c r="A299" s="27">
        <v>45834</v>
      </c>
      <c r="B299" s="28">
        <f t="shared" si="132"/>
        <v>425022053.60499907</v>
      </c>
      <c r="C299" s="29">
        <v>-10910722.109999999</v>
      </c>
      <c r="D299" s="29">
        <v>2952229.52</v>
      </c>
      <c r="E299" s="29">
        <v>22347962.949999999</v>
      </c>
      <c r="F299" s="29">
        <v>-4332683.1500000004</v>
      </c>
      <c r="G299" s="30">
        <f t="shared" si="133"/>
        <v>435078840.81499904</v>
      </c>
      <c r="H299" s="26" t="s">
        <v>3792</v>
      </c>
    </row>
    <row r="300" spans="1:8">
      <c r="A300" s="27">
        <v>45835</v>
      </c>
      <c r="B300" s="28">
        <f t="shared" si="132"/>
        <v>435078840.81499904</v>
      </c>
      <c r="C300" s="29">
        <v>-513489.46</v>
      </c>
      <c r="D300" s="29">
        <v>15318413.33</v>
      </c>
      <c r="E300" s="29">
        <v>724551.15</v>
      </c>
      <c r="F300" s="29">
        <v>-15303870.630000001</v>
      </c>
      <c r="G300" s="30">
        <f t="shared" si="133"/>
        <v>435304445.20499903</v>
      </c>
      <c r="H300" s="26" t="s">
        <v>3805</v>
      </c>
    </row>
    <row r="301" spans="1:8">
      <c r="A301" s="27">
        <v>45836</v>
      </c>
      <c r="B301" s="28">
        <f t="shared" si="132"/>
        <v>435304445.20499903</v>
      </c>
      <c r="C301" s="29">
        <v>0</v>
      </c>
      <c r="D301" s="29">
        <v>0</v>
      </c>
      <c r="E301" s="29">
        <v>0</v>
      </c>
      <c r="F301" s="29">
        <v>0</v>
      </c>
      <c r="G301" s="30">
        <f t="shared" si="133"/>
        <v>435304445.20499903</v>
      </c>
    </row>
    <row r="302" spans="1:8">
      <c r="A302" s="27">
        <v>45837</v>
      </c>
      <c r="B302" s="28">
        <f t="shared" si="132"/>
        <v>435304445.20499903</v>
      </c>
      <c r="C302" s="29">
        <v>0</v>
      </c>
      <c r="D302" s="29">
        <v>0</v>
      </c>
      <c r="E302" s="29">
        <v>0</v>
      </c>
      <c r="F302" s="29">
        <v>0</v>
      </c>
      <c r="G302" s="30">
        <f t="shared" si="133"/>
        <v>435304445.20499903</v>
      </c>
    </row>
    <row r="303" spans="1:8">
      <c r="A303" s="27">
        <v>45838</v>
      </c>
      <c r="B303" s="28">
        <f t="shared" si="132"/>
        <v>435304445.20499903</v>
      </c>
      <c r="C303" s="29">
        <v>0</v>
      </c>
      <c r="D303" s="29">
        <v>5214459.3099999996</v>
      </c>
      <c r="E303" s="29">
        <v>214.41</v>
      </c>
      <c r="F303" s="29">
        <v>0</v>
      </c>
      <c r="G303" s="30">
        <f t="shared" si="133"/>
        <v>440519118.92499906</v>
      </c>
      <c r="H303" s="26" t="s">
        <v>3831</v>
      </c>
    </row>
    <row r="304" spans="1:8">
      <c r="A304" s="27">
        <v>45839</v>
      </c>
      <c r="B304" s="28">
        <f t="shared" si="132"/>
        <v>440519118.92499906</v>
      </c>
      <c r="C304" s="29">
        <v>-25805.11</v>
      </c>
      <c r="D304" s="29">
        <v>10488958.949999999</v>
      </c>
      <c r="E304" s="29">
        <v>7656670.6600000001</v>
      </c>
      <c r="F304" s="29">
        <v>-19171473.359999999</v>
      </c>
      <c r="G304" s="30">
        <f t="shared" si="133"/>
        <v>439467470.06499904</v>
      </c>
      <c r="H304" s="26" t="s">
        <v>3835</v>
      </c>
    </row>
    <row r="305" spans="1:8">
      <c r="A305" s="27">
        <v>45840</v>
      </c>
      <c r="B305" s="28">
        <f t="shared" si="132"/>
        <v>439467470.06499904</v>
      </c>
      <c r="C305" s="29">
        <v>-489974.65</v>
      </c>
      <c r="D305" s="29">
        <v>6909812.1200000001</v>
      </c>
      <c r="E305" s="29">
        <v>965223.58</v>
      </c>
      <c r="F305" s="29">
        <v>-243872.21</v>
      </c>
      <c r="G305" s="30">
        <f t="shared" si="133"/>
        <v>446608658.90499908</v>
      </c>
      <c r="H305" s="26" t="s">
        <v>3847</v>
      </c>
    </row>
    <row r="306" spans="1:8">
      <c r="A306" s="27">
        <v>45841</v>
      </c>
      <c r="B306" s="28">
        <f t="shared" si="132"/>
        <v>446608658.90499908</v>
      </c>
      <c r="C306" s="29">
        <v>-2083146.03</v>
      </c>
      <c r="D306" s="29">
        <v>34776992.520000003</v>
      </c>
      <c r="E306" s="29">
        <v>39194092.539999999</v>
      </c>
      <c r="F306" s="29">
        <v>-16511067.119999999</v>
      </c>
      <c r="G306" s="30">
        <f t="shared" si="133"/>
        <v>501985530.8149991</v>
      </c>
      <c r="H306" s="26" t="s">
        <v>3850</v>
      </c>
    </row>
    <row r="307" spans="1:8">
      <c r="A307" s="27">
        <v>45842</v>
      </c>
      <c r="B307" s="28">
        <f t="shared" si="132"/>
        <v>501985530.8149991</v>
      </c>
      <c r="C307" s="29">
        <v>0</v>
      </c>
      <c r="D307" s="29">
        <v>0</v>
      </c>
      <c r="E307" s="29">
        <v>0</v>
      </c>
      <c r="F307" s="29">
        <v>0</v>
      </c>
      <c r="G307" s="30">
        <f t="shared" si="133"/>
        <v>501985530.8149991</v>
      </c>
    </row>
    <row r="308" spans="1:8">
      <c r="A308" s="27">
        <v>45843</v>
      </c>
      <c r="B308" s="28">
        <f t="shared" si="132"/>
        <v>501985530.8149991</v>
      </c>
      <c r="C308" s="29">
        <v>0</v>
      </c>
      <c r="D308" s="29">
        <v>0</v>
      </c>
      <c r="E308" s="29">
        <v>0</v>
      </c>
      <c r="F308" s="29">
        <v>0</v>
      </c>
      <c r="G308" s="30">
        <f t="shared" si="133"/>
        <v>501985530.8149991</v>
      </c>
    </row>
    <row r="309" spans="1:8">
      <c r="A309" s="27">
        <v>45844</v>
      </c>
      <c r="B309" s="28">
        <f t="shared" si="132"/>
        <v>501985530.8149991</v>
      </c>
      <c r="C309" s="29">
        <v>0</v>
      </c>
      <c r="D309" s="29">
        <v>0</v>
      </c>
      <c r="E309" s="29">
        <v>0</v>
      </c>
      <c r="F309" s="29">
        <v>0</v>
      </c>
      <c r="G309" s="30">
        <f t="shared" si="133"/>
        <v>501985530.8149991</v>
      </c>
    </row>
    <row r="310" spans="1:8">
      <c r="A310" s="27">
        <v>45845</v>
      </c>
      <c r="B310" s="28">
        <f t="shared" si="132"/>
        <v>501985530.8149991</v>
      </c>
      <c r="C310" s="29">
        <v>-2042087.12</v>
      </c>
      <c r="D310" s="29">
        <v>11122209.130000001</v>
      </c>
      <c r="E310" s="29">
        <v>2666260.8199999998</v>
      </c>
      <c r="F310" s="29">
        <v>-189871385.77000001</v>
      </c>
      <c r="G310" s="30">
        <f t="shared" si="133"/>
        <v>323860527.87499905</v>
      </c>
      <c r="H310" s="26" t="s">
        <v>3872</v>
      </c>
    </row>
    <row r="311" spans="1:8">
      <c r="A311" s="27">
        <v>45846</v>
      </c>
      <c r="B311" s="28">
        <f t="shared" si="132"/>
        <v>323860527.87499905</v>
      </c>
      <c r="C311" s="29">
        <v>-5409285.6999999993</v>
      </c>
      <c r="D311" s="29">
        <v>2607008.38</v>
      </c>
      <c r="E311" s="29">
        <v>22226053.780000001</v>
      </c>
      <c r="F311" s="29">
        <v>-4197259.2799999993</v>
      </c>
      <c r="G311" s="30">
        <f t="shared" si="133"/>
        <v>339087045.05499911</v>
      </c>
      <c r="H311" s="26" t="s">
        <v>3885</v>
      </c>
    </row>
    <row r="312" spans="1:8">
      <c r="A312" s="27">
        <v>45847</v>
      </c>
      <c r="B312" s="28">
        <f t="shared" si="132"/>
        <v>339087045.05499911</v>
      </c>
      <c r="C312" s="29">
        <v>-2026130.18</v>
      </c>
      <c r="D312" s="29">
        <v>13547417.58</v>
      </c>
      <c r="E312" s="29">
        <v>16980552.649999999</v>
      </c>
      <c r="F312" s="29">
        <v>-934468.8</v>
      </c>
      <c r="G312" s="30">
        <f t="shared" si="133"/>
        <v>366654416.30499905</v>
      </c>
      <c r="H312" s="26" t="s">
        <v>3898</v>
      </c>
    </row>
    <row r="313" spans="1:8">
      <c r="A313" s="27">
        <v>45848</v>
      </c>
      <c r="B313" s="28">
        <f t="shared" si="132"/>
        <v>366654416.30499905</v>
      </c>
      <c r="C313" s="29">
        <v>-2601118.88</v>
      </c>
      <c r="D313" s="29">
        <v>550289</v>
      </c>
      <c r="E313" s="29">
        <v>10283240.9</v>
      </c>
      <c r="F313" s="29">
        <v>-3848411.79</v>
      </c>
      <c r="G313" s="30">
        <f t="shared" si="133"/>
        <v>371038415.53499901</v>
      </c>
      <c r="H313" s="26" t="s">
        <v>3914</v>
      </c>
    </row>
    <row r="314" spans="1:8">
      <c r="A314" s="27">
        <v>45849</v>
      </c>
      <c r="B314" s="28">
        <f t="shared" si="132"/>
        <v>371038415.53499901</v>
      </c>
      <c r="C314" s="29">
        <v>-1512843.18</v>
      </c>
      <c r="D314" s="29">
        <v>5492686.4800000004</v>
      </c>
      <c r="E314" s="29">
        <v>1329801.6399999999</v>
      </c>
      <c r="F314" s="29">
        <v>-97133819.180000007</v>
      </c>
      <c r="G314" s="30">
        <f t="shared" si="133"/>
        <v>279214241.294999</v>
      </c>
      <c r="H314" s="26" t="s">
        <v>3915</v>
      </c>
    </row>
    <row r="315" spans="1:8">
      <c r="A315" s="27">
        <v>45850</v>
      </c>
      <c r="B315" s="28">
        <f t="shared" si="132"/>
        <v>279214241.294999</v>
      </c>
      <c r="C315" s="29">
        <v>0</v>
      </c>
      <c r="D315" s="29">
        <v>0</v>
      </c>
      <c r="E315" s="29">
        <v>0</v>
      </c>
      <c r="F315" s="29">
        <v>0</v>
      </c>
      <c r="G315" s="30">
        <f t="shared" si="133"/>
        <v>279214241.294999</v>
      </c>
    </row>
    <row r="316" spans="1:8">
      <c r="A316" s="27">
        <v>45851</v>
      </c>
      <c r="B316" s="28">
        <f t="shared" si="132"/>
        <v>279214241.294999</v>
      </c>
      <c r="C316" s="29">
        <v>0</v>
      </c>
      <c r="D316" s="29">
        <v>0</v>
      </c>
      <c r="E316" s="29">
        <v>0</v>
      </c>
      <c r="F316" s="29">
        <v>0</v>
      </c>
      <c r="G316" s="30">
        <f t="shared" si="133"/>
        <v>279214241.294999</v>
      </c>
    </row>
    <row r="317" spans="1:8">
      <c r="A317" s="27">
        <v>45852</v>
      </c>
      <c r="B317" s="28">
        <f t="shared" si="132"/>
        <v>279214241.294999</v>
      </c>
      <c r="C317" s="29">
        <v>-1677813.91</v>
      </c>
      <c r="D317" s="29">
        <v>3624418.63</v>
      </c>
      <c r="E317" s="29">
        <v>0</v>
      </c>
      <c r="F317" s="29">
        <v>0</v>
      </c>
      <c r="G317" s="30">
        <f t="shared" si="133"/>
        <v>281160846.01499897</v>
      </c>
      <c r="H317" s="26" t="s">
        <v>3928</v>
      </c>
    </row>
    <row r="318" spans="1:8">
      <c r="A318" s="27">
        <v>45853</v>
      </c>
      <c r="B318" s="28">
        <f t="shared" si="132"/>
        <v>281160846.01499897</v>
      </c>
      <c r="C318" s="29">
        <v>-1469612.82</v>
      </c>
      <c r="D318" s="29">
        <v>7569122.29</v>
      </c>
      <c r="E318" s="29">
        <v>20901315.920000002</v>
      </c>
      <c r="F318" s="29">
        <v>-2696114.59</v>
      </c>
      <c r="G318" s="30">
        <f t="shared" si="133"/>
        <v>305465556.81499904</v>
      </c>
      <c r="H318" s="26" t="s">
        <v>3931</v>
      </c>
    </row>
    <row r="319" spans="1:8">
      <c r="A319" s="27">
        <v>45854</v>
      </c>
      <c r="B319" s="28">
        <f t="shared" si="132"/>
        <v>305465556.81499904</v>
      </c>
      <c r="C319" s="29">
        <v>-2522998.19</v>
      </c>
      <c r="D319" s="29">
        <v>813222.25</v>
      </c>
      <c r="E319" s="29">
        <v>27479088.98</v>
      </c>
      <c r="F319" s="29">
        <v>-26713.35</v>
      </c>
      <c r="G319" s="30">
        <f t="shared" si="133"/>
        <v>331208156.50499904</v>
      </c>
      <c r="H319" s="26" t="s">
        <v>3952</v>
      </c>
    </row>
    <row r="320" spans="1:8">
      <c r="A320" s="27">
        <v>45855</v>
      </c>
      <c r="B320" s="28">
        <f t="shared" si="132"/>
        <v>331208156.50499904</v>
      </c>
      <c r="C320" s="29">
        <v>-18366860.129999999</v>
      </c>
      <c r="D320" s="29">
        <v>363165.84</v>
      </c>
      <c r="E320" s="29">
        <v>3426514.3</v>
      </c>
      <c r="F320" s="29">
        <v>-1945443.94</v>
      </c>
      <c r="G320" s="30">
        <f t="shared" si="133"/>
        <v>314685532.57499903</v>
      </c>
      <c r="H320" s="26" t="s">
        <v>3964</v>
      </c>
    </row>
    <row r="321" spans="1:8">
      <c r="A321" s="27">
        <v>45856</v>
      </c>
      <c r="B321" s="28">
        <f t="shared" ref="B321:B334" si="134">G320</f>
        <v>314685532.57499903</v>
      </c>
      <c r="C321" s="29">
        <v>-5216273.38</v>
      </c>
      <c r="D321" s="29">
        <v>1551637.05</v>
      </c>
      <c r="E321" s="29">
        <v>1613726.5899999999</v>
      </c>
      <c r="F321" s="29">
        <v>-9590645.7400000002</v>
      </c>
      <c r="G321" s="30">
        <f t="shared" si="133"/>
        <v>303043977.09499902</v>
      </c>
      <c r="H321" s="26" t="s">
        <v>3967</v>
      </c>
    </row>
    <row r="322" spans="1:8">
      <c r="A322" s="27">
        <v>45857</v>
      </c>
      <c r="B322" s="28">
        <f t="shared" si="134"/>
        <v>303043977.09499902</v>
      </c>
      <c r="C322" s="29">
        <v>0</v>
      </c>
      <c r="D322" s="29">
        <v>0</v>
      </c>
      <c r="E322" s="29">
        <v>0</v>
      </c>
      <c r="F322" s="29">
        <v>0</v>
      </c>
      <c r="G322" s="30">
        <f t="shared" si="133"/>
        <v>303043977.09499902</v>
      </c>
    </row>
    <row r="323" spans="1:8">
      <c r="A323" s="27">
        <v>45858</v>
      </c>
      <c r="B323" s="28">
        <f t="shared" si="134"/>
        <v>303043977.09499902</v>
      </c>
      <c r="C323" s="29">
        <v>0</v>
      </c>
      <c r="D323" s="29">
        <v>0</v>
      </c>
      <c r="E323" s="29">
        <v>0</v>
      </c>
      <c r="F323" s="29">
        <v>0</v>
      </c>
      <c r="G323" s="30">
        <f t="shared" si="133"/>
        <v>303043977.09499902</v>
      </c>
    </row>
    <row r="324" spans="1:8">
      <c r="A324" s="27">
        <v>45859</v>
      </c>
      <c r="B324" s="28">
        <f t="shared" si="134"/>
        <v>303043977.09499902</v>
      </c>
      <c r="C324" s="29">
        <v>-1296630.8</v>
      </c>
      <c r="D324" s="29">
        <v>4726626.17</v>
      </c>
      <c r="E324" s="29">
        <v>1049440.3799999999</v>
      </c>
      <c r="F324" s="29">
        <v>-194697.46</v>
      </c>
      <c r="G324" s="30">
        <f t="shared" si="133"/>
        <v>307328715.38499904</v>
      </c>
      <c r="H324" s="26" t="s">
        <v>3973</v>
      </c>
    </row>
    <row r="325" spans="1:8">
      <c r="A325" s="27">
        <v>45860</v>
      </c>
      <c r="B325" s="28">
        <f t="shared" si="134"/>
        <v>307328715.38499904</v>
      </c>
      <c r="C325" s="354">
        <v>-4250945</v>
      </c>
      <c r="D325" s="354">
        <v>155818216.19</v>
      </c>
      <c r="E325" s="354">
        <v>55394650.039999999</v>
      </c>
      <c r="F325" s="354">
        <v>-13996357.57</v>
      </c>
      <c r="G325" s="355">
        <f t="shared" si="133"/>
        <v>500294279.04499906</v>
      </c>
      <c r="H325" s="26" t="s">
        <v>3976</v>
      </c>
    </row>
    <row r="326" spans="1:8">
      <c r="A326" s="27">
        <v>45861</v>
      </c>
      <c r="B326" s="28">
        <f t="shared" si="134"/>
        <v>500294279.04499906</v>
      </c>
      <c r="C326" s="29">
        <v>-6061105.1299999999</v>
      </c>
      <c r="D326" s="29">
        <v>829861.8</v>
      </c>
      <c r="E326" s="29">
        <v>30028220.420000002</v>
      </c>
      <c r="F326" s="29">
        <v>-5636792.7699999996</v>
      </c>
      <c r="G326" s="30">
        <f t="shared" si="133"/>
        <v>519454463.36499912</v>
      </c>
      <c r="H326" s="26" t="s">
        <v>4006</v>
      </c>
    </row>
    <row r="327" spans="1:8">
      <c r="A327" s="27">
        <v>45862</v>
      </c>
      <c r="B327" s="28">
        <f t="shared" si="134"/>
        <v>519454463.36499912</v>
      </c>
      <c r="C327" s="29">
        <v>-11104380.779999999</v>
      </c>
      <c r="D327" s="29">
        <v>152800.63</v>
      </c>
      <c r="E327" s="29">
        <v>1497073.8</v>
      </c>
      <c r="F327" s="29">
        <v>-1377855.38</v>
      </c>
      <c r="G327" s="30">
        <f t="shared" si="133"/>
        <v>508622101.63499916</v>
      </c>
      <c r="H327" s="26" t="s">
        <v>4021</v>
      </c>
    </row>
    <row r="328" spans="1:8">
      <c r="A328" s="27">
        <v>45863</v>
      </c>
      <c r="B328" s="28">
        <f t="shared" si="134"/>
        <v>508622101.63499916</v>
      </c>
      <c r="C328" s="29">
        <v>-5028027</v>
      </c>
      <c r="D328" s="29">
        <v>1977732.18</v>
      </c>
      <c r="E328" s="29">
        <v>16314282.02</v>
      </c>
      <c r="F328" s="29">
        <v>-4721493.47</v>
      </c>
      <c r="G328" s="30">
        <f t="shared" si="133"/>
        <v>517164595.36499912</v>
      </c>
      <c r="H328" s="26" t="s">
        <v>4028</v>
      </c>
    </row>
    <row r="329" spans="1:8">
      <c r="A329" s="27">
        <v>45864</v>
      </c>
      <c r="B329" s="28">
        <f t="shared" si="134"/>
        <v>517164595.36499912</v>
      </c>
      <c r="C329" s="29">
        <v>0</v>
      </c>
      <c r="D329" s="29">
        <v>0</v>
      </c>
      <c r="E329" s="29">
        <v>0</v>
      </c>
      <c r="F329" s="29">
        <v>0</v>
      </c>
      <c r="G329" s="30">
        <f t="shared" si="133"/>
        <v>517164595.36499912</v>
      </c>
    </row>
    <row r="330" spans="1:8">
      <c r="A330" s="27">
        <v>45865</v>
      </c>
      <c r="B330" s="28">
        <f t="shared" si="134"/>
        <v>517164595.36499912</v>
      </c>
      <c r="C330" s="29">
        <v>0</v>
      </c>
      <c r="D330" s="29">
        <v>0</v>
      </c>
      <c r="E330" s="29">
        <v>0</v>
      </c>
      <c r="F330" s="29">
        <v>0</v>
      </c>
      <c r="G330" s="30">
        <f t="shared" si="133"/>
        <v>517164595.36499912</v>
      </c>
    </row>
    <row r="331" spans="1:8">
      <c r="A331" s="27">
        <v>45866</v>
      </c>
      <c r="B331" s="28">
        <f t="shared" si="134"/>
        <v>517164595.36499912</v>
      </c>
      <c r="C331" s="29">
        <v>-1716764.66</v>
      </c>
      <c r="D331" s="29">
        <v>3116513.81</v>
      </c>
      <c r="E331" s="29">
        <v>4436.3999999999996</v>
      </c>
      <c r="F331" s="29">
        <v>0</v>
      </c>
      <c r="G331" s="30">
        <f t="shared" si="133"/>
        <v>518568780.91499907</v>
      </c>
      <c r="H331" s="26" t="s">
        <v>4044</v>
      </c>
    </row>
    <row r="332" spans="1:8">
      <c r="A332" s="27">
        <v>45867</v>
      </c>
      <c r="B332" s="28">
        <f t="shared" si="134"/>
        <v>518568780.91499907</v>
      </c>
      <c r="C332" s="29">
        <v>-14163201.720000001</v>
      </c>
      <c r="D332" s="29">
        <v>10378480.789999999</v>
      </c>
      <c r="E332" s="29">
        <v>652963.34</v>
      </c>
      <c r="F332" s="29">
        <v>-8345285.3200000003</v>
      </c>
      <c r="G332" s="30">
        <f t="shared" si="133"/>
        <v>507091738.00499904</v>
      </c>
      <c r="H332" s="26" t="s">
        <v>4048</v>
      </c>
    </row>
    <row r="333" spans="1:8">
      <c r="A333" s="27">
        <v>45868</v>
      </c>
      <c r="B333" s="28">
        <f t="shared" si="134"/>
        <v>507091738.00499904</v>
      </c>
      <c r="C333" s="29">
        <v>-3477085.96</v>
      </c>
      <c r="D333" s="29">
        <v>2676886.44</v>
      </c>
      <c r="E333" s="29">
        <v>280343.63</v>
      </c>
      <c r="F333" s="29">
        <v>-26177662.260000002</v>
      </c>
      <c r="G333" s="30">
        <f t="shared" si="133"/>
        <v>480394219.85499907</v>
      </c>
      <c r="H333" s="26" t="s">
        <v>4073</v>
      </c>
    </row>
    <row r="334" spans="1:8">
      <c r="A334" s="27">
        <v>45869</v>
      </c>
      <c r="B334" s="28">
        <f t="shared" si="134"/>
        <v>480394219.85499907</v>
      </c>
      <c r="C334" s="29">
        <v>-6064523.9400000004</v>
      </c>
      <c r="D334" s="29">
        <v>-278153980.05000001</v>
      </c>
      <c r="E334" s="29">
        <v>99015608.980000004</v>
      </c>
      <c r="F334" s="29">
        <v>-1106611.05</v>
      </c>
      <c r="G334" s="30">
        <f t="shared" si="133"/>
        <v>294084713.79499906</v>
      </c>
      <c r="H334" s="26" t="s">
        <v>4083</v>
      </c>
    </row>
    <row r="335" spans="1:8">
      <c r="A335" s="27">
        <v>45870</v>
      </c>
      <c r="B335" s="28">
        <f t="shared" ref="B335:B348" si="135">G334</f>
        <v>294084713.79499906</v>
      </c>
      <c r="C335" s="29">
        <v>-2761481.7400000012</v>
      </c>
      <c r="D335" s="29">
        <v>14173500.93</v>
      </c>
      <c r="E335" s="29">
        <v>3187652.4599999995</v>
      </c>
      <c r="F335" s="29">
        <v>-11091263.780000001</v>
      </c>
      <c r="G335" s="30">
        <f t="shared" si="133"/>
        <v>297593121.66499901</v>
      </c>
      <c r="H335" s="26" t="s">
        <v>4096</v>
      </c>
    </row>
    <row r="336" spans="1:8">
      <c r="A336" s="27">
        <v>45871</v>
      </c>
      <c r="B336" s="28">
        <f t="shared" si="135"/>
        <v>297593121.66499901</v>
      </c>
      <c r="C336" s="29">
        <v>0</v>
      </c>
      <c r="D336" s="29">
        <v>0</v>
      </c>
      <c r="E336" s="29">
        <v>0</v>
      </c>
      <c r="F336" s="29">
        <v>0</v>
      </c>
      <c r="G336" s="30">
        <f t="shared" si="133"/>
        <v>297593121.66499901</v>
      </c>
    </row>
    <row r="337" spans="1:17">
      <c r="A337" s="27">
        <v>45872</v>
      </c>
      <c r="B337" s="28">
        <f t="shared" si="135"/>
        <v>297593121.66499901</v>
      </c>
      <c r="C337" s="29">
        <v>0</v>
      </c>
      <c r="D337" s="29">
        <v>0</v>
      </c>
      <c r="E337" s="29">
        <v>0</v>
      </c>
      <c r="F337" s="29">
        <v>0</v>
      </c>
      <c r="G337" s="30">
        <f t="shared" si="133"/>
        <v>297593121.66499901</v>
      </c>
    </row>
    <row r="338" spans="1:17">
      <c r="A338" s="27">
        <v>45873</v>
      </c>
      <c r="B338" s="28">
        <f t="shared" si="135"/>
        <v>297593121.66499901</v>
      </c>
      <c r="C338" s="29">
        <v>-1566780.74</v>
      </c>
      <c r="D338" s="29">
        <v>2121722.23</v>
      </c>
      <c r="E338" s="29">
        <v>30227</v>
      </c>
      <c r="F338" s="29">
        <v>-53008983.719999999</v>
      </c>
      <c r="G338" s="30">
        <f t="shared" si="133"/>
        <v>245169306.43499902</v>
      </c>
      <c r="H338" s="26" t="s">
        <v>4112</v>
      </c>
    </row>
    <row r="339" spans="1:17">
      <c r="A339" s="27">
        <v>45874</v>
      </c>
      <c r="B339" s="28">
        <f t="shared" si="135"/>
        <v>245169306.43499902</v>
      </c>
      <c r="C339" s="29">
        <v>-886934.39</v>
      </c>
      <c r="D339" s="29">
        <v>5006640.21</v>
      </c>
      <c r="E339" s="29">
        <v>5031901.13</v>
      </c>
      <c r="F339" s="29">
        <v>-47892105.299999997</v>
      </c>
      <c r="G339" s="30">
        <f t="shared" si="133"/>
        <v>206428808.08499902</v>
      </c>
      <c r="H339" s="26" t="s">
        <v>4114</v>
      </c>
    </row>
    <row r="340" spans="1:17">
      <c r="A340" s="27">
        <v>45875</v>
      </c>
      <c r="B340" s="28">
        <f t="shared" si="135"/>
        <v>206428808.08499902</v>
      </c>
      <c r="C340" s="29">
        <v>-2211360.7999999998</v>
      </c>
      <c r="D340" s="29">
        <v>1692882.82</v>
      </c>
      <c r="E340" s="29">
        <v>21173809.75</v>
      </c>
      <c r="F340" s="29">
        <v>-11420054.960000001</v>
      </c>
      <c r="G340" s="30">
        <f t="shared" si="133"/>
        <v>215664084.894999</v>
      </c>
      <c r="H340" s="26" t="s">
        <v>4130</v>
      </c>
    </row>
    <row r="341" spans="1:17">
      <c r="A341" s="27">
        <v>45876</v>
      </c>
      <c r="B341" s="28">
        <f t="shared" si="135"/>
        <v>215664084.894999</v>
      </c>
      <c r="C341" s="29">
        <v>-9204096.0899999999</v>
      </c>
      <c r="D341" s="29">
        <v>1665494.94</v>
      </c>
      <c r="E341" s="29">
        <v>29838525.73</v>
      </c>
      <c r="F341" s="29">
        <v>-7253027.8399999999</v>
      </c>
      <c r="G341" s="30">
        <f t="shared" si="133"/>
        <v>230710981.63499898</v>
      </c>
      <c r="H341" s="26" t="s">
        <v>4151</v>
      </c>
    </row>
    <row r="342" spans="1:17">
      <c r="A342" s="27">
        <v>45877</v>
      </c>
      <c r="B342" s="28">
        <f t="shared" si="135"/>
        <v>230710981.63499898</v>
      </c>
      <c r="C342" s="29">
        <v>-1536409.37</v>
      </c>
      <c r="D342" s="29">
        <v>8353945.54</v>
      </c>
      <c r="E342" s="29">
        <v>537117.46</v>
      </c>
      <c r="F342" s="29">
        <v>-1857516.28</v>
      </c>
      <c r="G342" s="30">
        <f t="shared" si="133"/>
        <v>236208118.98499897</v>
      </c>
      <c r="H342" s="26" t="s">
        <v>4164</v>
      </c>
    </row>
    <row r="343" spans="1:17">
      <c r="A343" s="27">
        <v>45878</v>
      </c>
      <c r="B343" s="28">
        <f t="shared" si="135"/>
        <v>236208118.98499897</v>
      </c>
      <c r="C343" s="29">
        <v>0</v>
      </c>
      <c r="D343" s="29">
        <v>0</v>
      </c>
      <c r="E343" s="29">
        <v>0</v>
      </c>
      <c r="F343" s="29">
        <v>0</v>
      </c>
      <c r="G343" s="30">
        <f t="shared" si="133"/>
        <v>236208118.98499897</v>
      </c>
    </row>
    <row r="344" spans="1:17">
      <c r="A344" s="27">
        <v>45879</v>
      </c>
      <c r="B344" s="28">
        <f t="shared" si="135"/>
        <v>236208118.98499897</v>
      </c>
      <c r="C344" s="29">
        <v>0</v>
      </c>
      <c r="D344" s="29">
        <v>0</v>
      </c>
      <c r="E344" s="29">
        <v>0</v>
      </c>
      <c r="F344" s="29">
        <v>0</v>
      </c>
      <c r="G344" s="30">
        <f t="shared" si="133"/>
        <v>236208118.98499897</v>
      </c>
    </row>
    <row r="345" spans="1:17">
      <c r="A345" s="27">
        <v>45880</v>
      </c>
      <c r="B345" s="28">
        <f t="shared" si="135"/>
        <v>236208118.98499897</v>
      </c>
      <c r="C345" s="29">
        <v>-1114529.6399999999</v>
      </c>
      <c r="D345" s="29">
        <v>128179.87</v>
      </c>
      <c r="E345" s="29">
        <v>0</v>
      </c>
      <c r="F345" s="29">
        <v>0</v>
      </c>
      <c r="G345" s="30">
        <f t="shared" si="133"/>
        <v>235221769.21499899</v>
      </c>
    </row>
    <row r="346" spans="1:17">
      <c r="A346" s="27">
        <v>45881</v>
      </c>
      <c r="B346" s="28">
        <f t="shared" si="135"/>
        <v>235221769.21499899</v>
      </c>
      <c r="C346" s="29">
        <v>-6858228.9800000004</v>
      </c>
      <c r="D346" s="29">
        <v>4177343.26</v>
      </c>
      <c r="E346" s="29">
        <v>454675.32</v>
      </c>
      <c r="F346" s="29">
        <v>-306140.71999999997</v>
      </c>
      <c r="G346" s="30">
        <f t="shared" si="133"/>
        <v>232689418.09499899</v>
      </c>
      <c r="H346" s="26" t="s">
        <v>4169</v>
      </c>
    </row>
    <row r="347" spans="1:17">
      <c r="A347" s="27">
        <v>45882</v>
      </c>
      <c r="B347" s="28">
        <f t="shared" si="135"/>
        <v>232689418.09499899</v>
      </c>
      <c r="C347" s="29">
        <v>-5781468.9900000002</v>
      </c>
      <c r="D347" s="29">
        <v>6285002.2999999998</v>
      </c>
      <c r="E347" s="29">
        <v>11949276.99</v>
      </c>
      <c r="F347" s="29">
        <v>-6079281.8200000003</v>
      </c>
      <c r="G347" s="30">
        <f t="shared" si="133"/>
        <v>239062946.574999</v>
      </c>
      <c r="H347" s="26" t="s">
        <v>4194</v>
      </c>
    </row>
    <row r="348" spans="1:17">
      <c r="A348" s="27">
        <v>45883</v>
      </c>
      <c r="B348" s="28">
        <f t="shared" si="135"/>
        <v>239062946.574999</v>
      </c>
      <c r="C348" s="29">
        <v>-7649778.3300000001</v>
      </c>
      <c r="D348" s="29">
        <v>3971062.47</v>
      </c>
      <c r="E348" s="29">
        <v>7881147.3899999997</v>
      </c>
      <c r="F348" s="29">
        <v>-1713137.86</v>
      </c>
      <c r="G348" s="30">
        <f t="shared" si="133"/>
        <v>241552240.24499896</v>
      </c>
      <c r="H348" s="26" t="s">
        <v>4195</v>
      </c>
    </row>
    <row r="349" spans="1:17">
      <c r="A349" s="27">
        <v>45884</v>
      </c>
      <c r="B349" s="28">
        <f t="shared" ref="B349:B362" si="136">G348</f>
        <v>241552240.24499896</v>
      </c>
      <c r="C349" s="29">
        <v>-20335947.629999999</v>
      </c>
      <c r="D349" s="29">
        <v>4681005.16</v>
      </c>
      <c r="E349" s="29">
        <v>35642334.25</v>
      </c>
      <c r="F349" s="29">
        <v>-87381382.329999998</v>
      </c>
      <c r="G349" s="30">
        <f t="shared" si="133"/>
        <v>174158249.69499898</v>
      </c>
      <c r="H349" s="26" t="s">
        <v>4209</v>
      </c>
    </row>
    <row r="350" spans="1:17">
      <c r="A350" s="27">
        <v>45885</v>
      </c>
      <c r="B350" s="28">
        <f t="shared" si="136"/>
        <v>174158249.69499898</v>
      </c>
      <c r="C350" s="29">
        <v>0</v>
      </c>
      <c r="D350" s="29">
        <v>0</v>
      </c>
      <c r="E350" s="29">
        <v>0</v>
      </c>
      <c r="F350" s="29">
        <v>0</v>
      </c>
      <c r="G350" s="30">
        <f t="shared" si="133"/>
        <v>174158249.69499898</v>
      </c>
      <c r="Q350" s="25" t="s">
        <v>4245</v>
      </c>
    </row>
    <row r="351" spans="1:17">
      <c r="A351" s="27">
        <v>45886</v>
      </c>
      <c r="B351" s="28">
        <f t="shared" si="136"/>
        <v>174158249.69499898</v>
      </c>
      <c r="C351" s="29">
        <v>0</v>
      </c>
      <c r="D351" s="29">
        <v>0</v>
      </c>
      <c r="E351" s="29">
        <v>0</v>
      </c>
      <c r="F351" s="29">
        <v>0</v>
      </c>
      <c r="G351" s="30">
        <f t="shared" si="133"/>
        <v>174158249.69499898</v>
      </c>
    </row>
    <row r="352" spans="1:17">
      <c r="A352" s="27">
        <v>45887</v>
      </c>
      <c r="B352" s="28">
        <f t="shared" si="136"/>
        <v>174158249.69499898</v>
      </c>
      <c r="C352" s="29">
        <v>-5581473.3200000003</v>
      </c>
      <c r="D352" s="29">
        <v>16050765.51</v>
      </c>
      <c r="E352" s="29">
        <v>11376927.83</v>
      </c>
      <c r="F352" s="29">
        <f>-17533019.33+6575134</f>
        <v>-10957885.329999998</v>
      </c>
      <c r="G352" s="30">
        <f t="shared" si="133"/>
        <v>185046584.38499898</v>
      </c>
      <c r="H352" s="26" t="s">
        <v>4244</v>
      </c>
    </row>
    <row r="353" spans="1:8">
      <c r="A353" s="27">
        <v>45888</v>
      </c>
      <c r="B353" s="28">
        <f t="shared" si="136"/>
        <v>185046584.38499898</v>
      </c>
      <c r="C353" s="29">
        <v>-1606714.45</v>
      </c>
      <c r="D353" s="29">
        <v>1225279.23</v>
      </c>
      <c r="E353" s="29">
        <v>30560505.32</v>
      </c>
      <c r="F353" s="29">
        <v>-5764505.8700000001</v>
      </c>
      <c r="G353" s="30">
        <f t="shared" si="133"/>
        <v>209461148.61499897</v>
      </c>
      <c r="H353" s="26" t="s">
        <v>4260</v>
      </c>
    </row>
    <row r="354" spans="1:8">
      <c r="A354" s="27">
        <v>45889</v>
      </c>
      <c r="B354" s="28">
        <f t="shared" si="136"/>
        <v>209461148.61499897</v>
      </c>
      <c r="C354" s="29">
        <v>-672075.38</v>
      </c>
      <c r="D354" s="29">
        <v>1429701.99</v>
      </c>
      <c r="E354" s="29">
        <v>76907134.459999993</v>
      </c>
      <c r="F354" s="29">
        <v>-7995416.6500000004</v>
      </c>
      <c r="G354" s="30">
        <f t="shared" si="133"/>
        <v>279130493.03499901</v>
      </c>
      <c r="H354" s="26" t="s">
        <v>4284</v>
      </c>
    </row>
    <row r="355" spans="1:8">
      <c r="A355" s="27">
        <v>45890</v>
      </c>
      <c r="B355" s="28">
        <f t="shared" si="136"/>
        <v>279130493.03499901</v>
      </c>
      <c r="C355" s="29">
        <v>-1273625.54</v>
      </c>
      <c r="D355" s="29">
        <v>403862.66</v>
      </c>
      <c r="E355" s="29">
        <v>2046954.72</v>
      </c>
      <c r="F355" s="29">
        <v>-5999580.75</v>
      </c>
      <c r="G355" s="30">
        <f t="shared" si="133"/>
        <v>274308104.12499905</v>
      </c>
      <c r="H355" s="26" t="s">
        <v>4300</v>
      </c>
    </row>
    <row r="356" spans="1:8">
      <c r="A356" s="27">
        <v>45891</v>
      </c>
      <c r="B356" s="28">
        <f t="shared" si="136"/>
        <v>274308104.12499905</v>
      </c>
      <c r="C356" s="29">
        <v>-1632815.55</v>
      </c>
      <c r="D356" s="29">
        <v>6765620.0599999996</v>
      </c>
      <c r="E356" s="29">
        <v>4333084.34</v>
      </c>
      <c r="F356" s="29">
        <v>-13909405.470000001</v>
      </c>
      <c r="G356" s="30">
        <f t="shared" si="133"/>
        <v>269864587.50499898</v>
      </c>
      <c r="H356" s="26" t="s">
        <v>4307</v>
      </c>
    </row>
    <row r="357" spans="1:8">
      <c r="A357" s="27">
        <v>45892</v>
      </c>
      <c r="B357" s="28">
        <f t="shared" si="136"/>
        <v>269864587.50499898</v>
      </c>
      <c r="C357" s="29">
        <v>0</v>
      </c>
      <c r="D357" s="29">
        <v>0</v>
      </c>
      <c r="E357" s="29">
        <v>0</v>
      </c>
      <c r="F357" s="29">
        <v>0</v>
      </c>
      <c r="G357" s="30">
        <f t="shared" si="133"/>
        <v>269864587.50499898</v>
      </c>
    </row>
    <row r="358" spans="1:8">
      <c r="A358" s="27">
        <v>45893</v>
      </c>
      <c r="B358" s="28">
        <f t="shared" si="136"/>
        <v>269864587.50499898</v>
      </c>
      <c r="C358" s="29">
        <v>0</v>
      </c>
      <c r="D358" s="29">
        <v>0</v>
      </c>
      <c r="E358" s="29">
        <v>0</v>
      </c>
      <c r="F358" s="29">
        <v>0</v>
      </c>
      <c r="G358" s="30">
        <f t="shared" si="133"/>
        <v>269864587.50499898</v>
      </c>
    </row>
    <row r="359" spans="1:8">
      <c r="A359" s="27">
        <v>45894</v>
      </c>
      <c r="B359" s="28">
        <f t="shared" si="136"/>
        <v>269864587.50499898</v>
      </c>
      <c r="C359" s="29">
        <v>-1274403.01</v>
      </c>
      <c r="D359" s="29">
        <v>1094565.6299999999</v>
      </c>
      <c r="E359" s="29">
        <v>170556.5</v>
      </c>
      <c r="F359" s="29">
        <f>-13937.11-6575134</f>
        <v>-6589071.1100000003</v>
      </c>
      <c r="G359" s="30">
        <f t="shared" si="133"/>
        <v>263266235.51499897</v>
      </c>
    </row>
    <row r="360" spans="1:8">
      <c r="A360" s="27">
        <v>45895</v>
      </c>
      <c r="B360" s="28">
        <f t="shared" si="136"/>
        <v>263266235.51499897</v>
      </c>
      <c r="C360" s="29">
        <v>-1655393.05</v>
      </c>
      <c r="D360" s="29">
        <v>1133021.49</v>
      </c>
      <c r="E360" s="29">
        <v>305.8</v>
      </c>
      <c r="F360" s="29">
        <v>-75274662.390000001</v>
      </c>
      <c r="G360" s="30">
        <f t="shared" si="133"/>
        <v>187469507.364999</v>
      </c>
      <c r="H360" s="26" t="s">
        <v>4322</v>
      </c>
    </row>
    <row r="361" spans="1:8">
      <c r="A361" s="27">
        <v>45896</v>
      </c>
      <c r="B361" s="28">
        <f t="shared" si="136"/>
        <v>187469507.364999</v>
      </c>
      <c r="C361" s="29">
        <v>-1565717.63</v>
      </c>
      <c r="D361" s="29">
        <v>5485398.3399999999</v>
      </c>
      <c r="E361" s="29">
        <v>6344552.2800000003</v>
      </c>
      <c r="F361" s="29">
        <v>-16427605.92</v>
      </c>
      <c r="G361" s="30">
        <f t="shared" si="133"/>
        <v>181306134.43499902</v>
      </c>
      <c r="H361" s="26" t="s">
        <v>4325</v>
      </c>
    </row>
    <row r="362" spans="1:8">
      <c r="A362" s="27">
        <v>45897</v>
      </c>
      <c r="B362" s="28">
        <f t="shared" si="136"/>
        <v>181306134.43499902</v>
      </c>
      <c r="C362" s="29">
        <v>-1503529.82</v>
      </c>
      <c r="D362" s="29">
        <v>3201971.08</v>
      </c>
      <c r="E362" s="29">
        <v>1083289.6000000001</v>
      </c>
      <c r="F362" s="29">
        <v>-14612922.189999999</v>
      </c>
      <c r="G362" s="30">
        <f t="shared" si="133"/>
        <v>169474943.10499904</v>
      </c>
      <c r="H362" s="26" t="s">
        <v>4342</v>
      </c>
    </row>
    <row r="363" spans="1:8">
      <c r="A363" s="27">
        <v>45898</v>
      </c>
      <c r="B363" s="28">
        <f t="shared" ref="B363:B368" si="137">G362</f>
        <v>169474943.10499904</v>
      </c>
      <c r="C363" s="29">
        <v>-1145107.0899999996</v>
      </c>
      <c r="D363" s="29">
        <v>6161890.3200000003</v>
      </c>
      <c r="E363" s="29">
        <v>389428.9</v>
      </c>
      <c r="F363" s="29">
        <v>-3611844.83</v>
      </c>
      <c r="G363" s="30">
        <f t="shared" si="133"/>
        <v>171269310.40499902</v>
      </c>
      <c r="H363" s="26" t="s">
        <v>4354</v>
      </c>
    </row>
    <row r="364" spans="1:8">
      <c r="A364" s="27">
        <v>45899</v>
      </c>
      <c r="B364" s="28">
        <f t="shared" si="137"/>
        <v>171269310.40499902</v>
      </c>
      <c r="C364" s="29">
        <v>0</v>
      </c>
      <c r="D364" s="29">
        <v>0</v>
      </c>
      <c r="E364" s="29">
        <v>0</v>
      </c>
      <c r="F364" s="29">
        <v>0</v>
      </c>
      <c r="G364" s="30">
        <f t="shared" si="133"/>
        <v>171269310.40499902</v>
      </c>
    </row>
    <row r="365" spans="1:8">
      <c r="A365" s="27">
        <v>45900</v>
      </c>
      <c r="B365" s="28">
        <f t="shared" si="137"/>
        <v>171269310.40499902</v>
      </c>
      <c r="C365" s="29">
        <v>0</v>
      </c>
      <c r="D365" s="29">
        <v>0</v>
      </c>
      <c r="E365" s="29">
        <v>0</v>
      </c>
      <c r="F365" s="29">
        <v>0</v>
      </c>
      <c r="G365" s="30">
        <f t="shared" si="133"/>
        <v>171269310.40499902</v>
      </c>
    </row>
    <row r="366" spans="1:8">
      <c r="A366" s="27">
        <v>45901</v>
      </c>
      <c r="B366" s="28">
        <f t="shared" si="137"/>
        <v>171269310.40499902</v>
      </c>
      <c r="C366" s="29">
        <v>0</v>
      </c>
      <c r="D366" s="29">
        <v>0</v>
      </c>
      <c r="E366" s="29">
        <v>0</v>
      </c>
      <c r="F366" s="29">
        <v>0</v>
      </c>
      <c r="G366" s="30">
        <f t="shared" si="133"/>
        <v>171269310.40499902</v>
      </c>
    </row>
    <row r="367" spans="1:8">
      <c r="A367" s="27">
        <v>45902</v>
      </c>
      <c r="B367" s="28">
        <f t="shared" si="137"/>
        <v>171269310.40499902</v>
      </c>
      <c r="C367" s="29">
        <v>-2861484.96</v>
      </c>
      <c r="D367" s="29">
        <v>4559652.5600000005</v>
      </c>
      <c r="E367" s="29">
        <v>10282255.620000001</v>
      </c>
      <c r="F367" s="29">
        <v>-12451668.74</v>
      </c>
      <c r="G367" s="30">
        <f t="shared" si="133"/>
        <v>170798064.88499901</v>
      </c>
      <c r="H367" s="26" t="s">
        <v>4363</v>
      </c>
    </row>
    <row r="368" spans="1:8">
      <c r="A368" s="27">
        <v>45903</v>
      </c>
      <c r="B368" s="28">
        <f t="shared" si="137"/>
        <v>170798064.88499901</v>
      </c>
      <c r="C368" s="29">
        <v>-856684.28</v>
      </c>
      <c r="D368" s="29">
        <v>25579993.16</v>
      </c>
      <c r="E368" s="29">
        <v>0</v>
      </c>
      <c r="F368" s="29">
        <v>0</v>
      </c>
      <c r="G368" s="30">
        <f t="shared" si="133"/>
        <v>195521373.764999</v>
      </c>
      <c r="H368" s="26" t="s">
        <v>4372</v>
      </c>
    </row>
    <row r="369" spans="1:8">
      <c r="A369" s="27">
        <v>45904</v>
      </c>
      <c r="B369" s="28">
        <f t="shared" ref="B369:B376" si="138">G368</f>
        <v>195521373.764999</v>
      </c>
      <c r="C369" s="29">
        <v>-2699087.0100000002</v>
      </c>
      <c r="D369" s="29">
        <v>72022.899999999994</v>
      </c>
      <c r="E369" s="29">
        <v>44864425.820000008</v>
      </c>
      <c r="F369" s="29">
        <v>-12062683.460000001</v>
      </c>
      <c r="G369" s="30">
        <f t="shared" si="133"/>
        <v>225696052.014999</v>
      </c>
      <c r="H369" s="26" t="s">
        <v>4379</v>
      </c>
    </row>
    <row r="370" spans="1:8">
      <c r="A370" s="27">
        <v>45905</v>
      </c>
      <c r="B370" s="28">
        <f t="shared" si="138"/>
        <v>225696052.014999</v>
      </c>
      <c r="C370" s="29">
        <v>-2337472.27</v>
      </c>
      <c r="D370" s="29">
        <v>615840.79</v>
      </c>
      <c r="E370" s="29">
        <v>31586424.670000002</v>
      </c>
      <c r="F370" s="29">
        <v>-21348678.48</v>
      </c>
      <c r="G370" s="30">
        <f t="shared" si="133"/>
        <v>234212166.72499898</v>
      </c>
      <c r="H370" s="26" t="s">
        <v>4392</v>
      </c>
    </row>
    <row r="371" spans="1:8">
      <c r="A371" s="27">
        <v>45906</v>
      </c>
      <c r="B371" s="28">
        <f t="shared" si="138"/>
        <v>234212166.72499898</v>
      </c>
      <c r="C371" s="29">
        <v>0</v>
      </c>
      <c r="D371" s="29">
        <v>0</v>
      </c>
      <c r="E371" s="29">
        <v>0</v>
      </c>
      <c r="F371" s="29">
        <v>0</v>
      </c>
      <c r="G371" s="30">
        <f t="shared" si="133"/>
        <v>234212166.72499898</v>
      </c>
    </row>
    <row r="372" spans="1:8">
      <c r="A372" s="27">
        <v>45907</v>
      </c>
      <c r="B372" s="28">
        <f t="shared" si="138"/>
        <v>234212166.72499898</v>
      </c>
      <c r="C372" s="29">
        <v>0</v>
      </c>
      <c r="D372" s="29">
        <v>0</v>
      </c>
      <c r="E372" s="29">
        <v>0</v>
      </c>
      <c r="F372" s="29">
        <v>0</v>
      </c>
      <c r="G372" s="30">
        <f t="shared" si="133"/>
        <v>234212166.72499898</v>
      </c>
    </row>
    <row r="373" spans="1:8">
      <c r="A373" s="27">
        <v>45908</v>
      </c>
      <c r="B373" s="28">
        <f t="shared" si="138"/>
        <v>234212166.72499898</v>
      </c>
      <c r="C373" s="29">
        <v>-2123398.4500000002</v>
      </c>
      <c r="D373" s="29">
        <v>627992.80000000005</v>
      </c>
      <c r="E373" s="29">
        <v>0</v>
      </c>
      <c r="F373" s="29">
        <v>0</v>
      </c>
      <c r="G373" s="30">
        <f t="shared" si="133"/>
        <v>232716761.074999</v>
      </c>
    </row>
    <row r="374" spans="1:8">
      <c r="A374" s="27">
        <v>45909</v>
      </c>
      <c r="B374" s="28">
        <f t="shared" si="138"/>
        <v>232716761.074999</v>
      </c>
      <c r="C374" s="29">
        <v>-3229419.58</v>
      </c>
      <c r="D374" s="29">
        <v>1597302.09</v>
      </c>
      <c r="E374" s="29">
        <v>351546.66</v>
      </c>
      <c r="F374" s="29">
        <v>-1047315.98</v>
      </c>
      <c r="G374" s="30">
        <f t="shared" si="133"/>
        <v>230388874.264999</v>
      </c>
      <c r="H374" s="26" t="s">
        <v>4405</v>
      </c>
    </row>
    <row r="375" spans="1:8">
      <c r="A375" s="27">
        <v>45910</v>
      </c>
      <c r="B375" s="28">
        <f t="shared" si="138"/>
        <v>230388874.264999</v>
      </c>
      <c r="C375" s="29">
        <v>-1470459.14</v>
      </c>
      <c r="D375" s="29">
        <v>7018063.8499999996</v>
      </c>
      <c r="E375" s="29">
        <v>24332667.84</v>
      </c>
      <c r="F375" s="29">
        <v>-31080112.77</v>
      </c>
      <c r="G375" s="30">
        <f t="shared" si="133"/>
        <v>229189034.044999</v>
      </c>
      <c r="H375" s="26" t="s">
        <v>4408</v>
      </c>
    </row>
    <row r="376" spans="1:8">
      <c r="A376" s="27">
        <v>45911</v>
      </c>
      <c r="B376" s="28">
        <f t="shared" si="138"/>
        <v>229189034.044999</v>
      </c>
      <c r="C376" s="29">
        <v>-1792875.0899999994</v>
      </c>
      <c r="D376" s="29">
        <v>13704790.35</v>
      </c>
      <c r="E376" s="29">
        <v>2212747.9300000002</v>
      </c>
      <c r="F376" s="29">
        <v>-78658588.549999997</v>
      </c>
      <c r="G376" s="30">
        <f t="shared" si="133"/>
        <v>164655108.68499899</v>
      </c>
      <c r="H376" s="26" t="s">
        <v>4417</v>
      </c>
    </row>
    <row r="377" spans="1:8">
      <c r="A377" s="27">
        <v>45912</v>
      </c>
      <c r="B377" s="28">
        <f t="shared" ref="B377" si="139">G376</f>
        <v>164655108.68499899</v>
      </c>
      <c r="C377" s="29">
        <v>-9174126.9099999983</v>
      </c>
      <c r="D377" s="29">
        <v>1393707.3800000001</v>
      </c>
      <c r="E377" s="29">
        <v>28729.899999999998</v>
      </c>
      <c r="F377" s="29">
        <v>-137460.41</v>
      </c>
      <c r="G377" s="30">
        <f t="shared" si="133"/>
        <v>156765958.644999</v>
      </c>
      <c r="H377" s="26" t="s">
        <v>4433</v>
      </c>
    </row>
    <row r="378" spans="1:8">
      <c r="A378" s="27">
        <v>45913</v>
      </c>
      <c r="B378" s="28">
        <f t="shared" ref="B378:B380" si="140">G377</f>
        <v>156765958.644999</v>
      </c>
      <c r="C378" s="29">
        <v>0</v>
      </c>
      <c r="D378" s="29">
        <v>0</v>
      </c>
      <c r="E378" s="29">
        <v>0</v>
      </c>
      <c r="F378" s="29">
        <v>0</v>
      </c>
      <c r="G378" s="30">
        <f t="shared" si="133"/>
        <v>156765958.644999</v>
      </c>
    </row>
    <row r="379" spans="1:8">
      <c r="A379" s="27">
        <v>45914</v>
      </c>
      <c r="B379" s="28">
        <f t="shared" si="140"/>
        <v>156765958.644999</v>
      </c>
      <c r="C379" s="29">
        <v>0</v>
      </c>
      <c r="D379" s="29">
        <v>0</v>
      </c>
      <c r="E379" s="29">
        <v>0</v>
      </c>
      <c r="F379" s="29">
        <v>0</v>
      </c>
      <c r="G379" s="30">
        <f t="shared" ref="G379:G380" si="141">SUM(B379:F379)</f>
        <v>156765958.644999</v>
      </c>
    </row>
    <row r="380" spans="1:8">
      <c r="A380" s="27">
        <v>45915</v>
      </c>
      <c r="B380" s="28">
        <f t="shared" si="140"/>
        <v>156765958.644999</v>
      </c>
      <c r="C380" s="29">
        <v>-2715058.35</v>
      </c>
      <c r="D380" s="29">
        <v>6237662.2400000002</v>
      </c>
      <c r="E380" s="29">
        <v>2150.2799999999997</v>
      </c>
      <c r="F380" s="29">
        <v>-3752728.09</v>
      </c>
      <c r="G380" s="30">
        <f t="shared" si="141"/>
        <v>156537984.72499901</v>
      </c>
      <c r="H380" s="26" t="s">
        <v>4438</v>
      </c>
    </row>
    <row r="381" spans="1:8">
      <c r="A381" s="27">
        <v>45916</v>
      </c>
      <c r="B381" s="28">
        <f t="shared" ref="B381:B390" si="142">G380</f>
        <v>156537984.72499901</v>
      </c>
      <c r="C381" s="29">
        <v>-13032218.24</v>
      </c>
      <c r="D381" s="29">
        <v>1531851.65</v>
      </c>
      <c r="E381" s="29">
        <v>391923.81</v>
      </c>
      <c r="F381" s="29">
        <v>-6907625.3600000003</v>
      </c>
      <c r="G381" s="30">
        <f t="shared" ref="G381:G453" si="143">SUM(B381:F381)</f>
        <v>138521916.584999</v>
      </c>
      <c r="H381" s="26" t="s">
        <v>4445</v>
      </c>
    </row>
    <row r="382" spans="1:8">
      <c r="A382" s="27">
        <v>45917</v>
      </c>
      <c r="B382" s="28">
        <f t="shared" si="142"/>
        <v>138521916.584999</v>
      </c>
      <c r="C382" s="29">
        <v>-2085227.4</v>
      </c>
      <c r="D382" s="29">
        <v>3022438.3999999999</v>
      </c>
      <c r="E382" s="29">
        <v>93560.95</v>
      </c>
      <c r="F382" s="29">
        <v>-7189758.1100000003</v>
      </c>
      <c r="G382" s="30">
        <f t="shared" si="143"/>
        <v>132362930.42499898</v>
      </c>
      <c r="H382" s="26" t="s">
        <v>4463</v>
      </c>
    </row>
    <row r="383" spans="1:8">
      <c r="A383" s="27">
        <v>45918</v>
      </c>
      <c r="B383" s="28">
        <f t="shared" si="142"/>
        <v>132362930.42499898</v>
      </c>
      <c r="C383" s="29">
        <v>-2995395.8599999994</v>
      </c>
      <c r="D383" s="29">
        <v>-1136430.7500000002</v>
      </c>
      <c r="E383" s="29">
        <v>2779.64</v>
      </c>
      <c r="F383" s="29">
        <v>-1662127.95</v>
      </c>
      <c r="G383" s="30">
        <f t="shared" si="143"/>
        <v>126571755.50499898</v>
      </c>
      <c r="H383" s="26" t="s">
        <v>4469</v>
      </c>
    </row>
    <row r="384" spans="1:8">
      <c r="A384" s="27">
        <v>45919</v>
      </c>
      <c r="B384" s="28">
        <f t="shared" si="142"/>
        <v>126571755.50499898</v>
      </c>
      <c r="C384" s="29">
        <v>-2652693.88</v>
      </c>
      <c r="D384" s="29">
        <v>35028692.079999998</v>
      </c>
      <c r="E384" s="29">
        <v>5544589.9400000004</v>
      </c>
      <c r="F384" s="29">
        <v>-29823998.420000002</v>
      </c>
      <c r="G384" s="30">
        <f t="shared" si="143"/>
        <v>134668345.22499895</v>
      </c>
      <c r="H384" s="26" t="s">
        <v>4472</v>
      </c>
    </row>
    <row r="385" spans="1:8">
      <c r="A385" s="27">
        <v>45920</v>
      </c>
      <c r="B385" s="28">
        <f t="shared" si="142"/>
        <v>134668345.22499895</v>
      </c>
      <c r="C385" s="29">
        <v>0</v>
      </c>
      <c r="D385" s="29">
        <v>0</v>
      </c>
      <c r="E385" s="29">
        <v>0</v>
      </c>
      <c r="F385" s="29">
        <v>0</v>
      </c>
      <c r="G385" s="30">
        <f t="shared" si="143"/>
        <v>134668345.22499895</v>
      </c>
    </row>
    <row r="386" spans="1:8">
      <c r="A386" s="27">
        <v>45921</v>
      </c>
      <c r="B386" s="28">
        <f t="shared" si="142"/>
        <v>134668345.22499895</v>
      </c>
      <c r="C386" s="29">
        <v>0</v>
      </c>
      <c r="D386" s="29">
        <v>0</v>
      </c>
      <c r="E386" s="29">
        <v>0</v>
      </c>
      <c r="F386" s="29">
        <v>0</v>
      </c>
      <c r="G386" s="30">
        <f t="shared" si="143"/>
        <v>134668345.22499895</v>
      </c>
    </row>
    <row r="387" spans="1:8">
      <c r="A387" s="27">
        <v>45922</v>
      </c>
      <c r="B387" s="28">
        <f t="shared" si="142"/>
        <v>134668345.22499895</v>
      </c>
      <c r="C387" s="29">
        <v>-4030462.52</v>
      </c>
      <c r="D387" s="29">
        <v>1015497.5</v>
      </c>
      <c r="E387" s="29">
        <v>0</v>
      </c>
      <c r="F387" s="29">
        <v>0</v>
      </c>
      <c r="G387" s="30">
        <f t="shared" si="143"/>
        <v>131653380.20499896</v>
      </c>
      <c r="H387" s="26" t="s">
        <v>4489</v>
      </c>
    </row>
    <row r="388" spans="1:8">
      <c r="A388" s="27">
        <v>45923</v>
      </c>
      <c r="B388" s="28">
        <f t="shared" si="142"/>
        <v>131653380.20499896</v>
      </c>
      <c r="C388" s="29">
        <v>-1493725.04</v>
      </c>
      <c r="D388" s="29">
        <v>3496185.33</v>
      </c>
      <c r="E388" s="29">
        <v>55409.39</v>
      </c>
      <c r="F388" s="29">
        <v>-1244452.5</v>
      </c>
      <c r="G388" s="30">
        <f t="shared" si="143"/>
        <v>132466797.38499895</v>
      </c>
      <c r="H388" s="26" t="s">
        <v>4492</v>
      </c>
    </row>
    <row r="389" spans="1:8">
      <c r="A389" s="27">
        <v>45924</v>
      </c>
      <c r="B389" s="28">
        <f t="shared" si="142"/>
        <v>132466797.38499895</v>
      </c>
      <c r="C389" s="29">
        <v>-2353504.39</v>
      </c>
      <c r="D389" s="29">
        <v>4622398.33</v>
      </c>
      <c r="E389" s="29">
        <v>10131.77</v>
      </c>
      <c r="F389" s="29">
        <v>-1046477.93</v>
      </c>
      <c r="G389" s="30">
        <f t="shared" si="143"/>
        <v>133699345.16499895</v>
      </c>
      <c r="H389" s="26" t="s">
        <v>4499</v>
      </c>
    </row>
    <row r="390" spans="1:8">
      <c r="A390" s="27">
        <v>45925</v>
      </c>
      <c r="B390" s="28">
        <f t="shared" si="142"/>
        <v>133699345.16499895</v>
      </c>
      <c r="C390" s="29">
        <v>-2848904.7</v>
      </c>
      <c r="D390" s="29">
        <v>18164463.5</v>
      </c>
      <c r="E390" s="29">
        <v>4674702</v>
      </c>
      <c r="F390" s="29">
        <v>-2708188.67</v>
      </c>
      <c r="G390" s="30">
        <f t="shared" si="143"/>
        <v>150981417.29499897</v>
      </c>
      <c r="H390" s="26" t="s">
        <v>4505</v>
      </c>
    </row>
    <row r="391" spans="1:8">
      <c r="A391" s="27">
        <v>45926</v>
      </c>
      <c r="B391" s="28">
        <f t="shared" ref="B391:B396" si="144">G390</f>
        <v>150981417.29499897</v>
      </c>
      <c r="C391" s="29">
        <v>-3516506.4799999995</v>
      </c>
      <c r="D391" s="29">
        <v>20552942.110000003</v>
      </c>
      <c r="E391" s="29">
        <v>15115654.220000001</v>
      </c>
      <c r="F391" s="29">
        <v>-79439628.930000007</v>
      </c>
      <c r="G391" s="30">
        <f t="shared" si="143"/>
        <v>103693878.21499899</v>
      </c>
      <c r="H391" s="26" t="s">
        <v>4527</v>
      </c>
    </row>
    <row r="392" spans="1:8">
      <c r="A392" s="27">
        <v>45927</v>
      </c>
      <c r="B392" s="28">
        <f t="shared" si="144"/>
        <v>103693878.21499899</v>
      </c>
      <c r="C392" s="29">
        <v>0</v>
      </c>
      <c r="D392" s="29">
        <v>0</v>
      </c>
      <c r="E392" s="29">
        <v>0</v>
      </c>
      <c r="F392" s="29">
        <v>0</v>
      </c>
      <c r="G392" s="30">
        <f t="shared" si="143"/>
        <v>103693878.21499899</v>
      </c>
    </row>
    <row r="393" spans="1:8">
      <c r="A393" s="27">
        <v>45928</v>
      </c>
      <c r="B393" s="28">
        <f t="shared" si="144"/>
        <v>103693878.21499899</v>
      </c>
      <c r="C393" s="29">
        <v>0</v>
      </c>
      <c r="D393" s="29">
        <v>0</v>
      </c>
      <c r="E393" s="29">
        <v>0</v>
      </c>
      <c r="F393" s="29">
        <v>0</v>
      </c>
      <c r="G393" s="30">
        <f t="shared" si="143"/>
        <v>103693878.21499899</v>
      </c>
    </row>
    <row r="394" spans="1:8">
      <c r="A394" s="27">
        <v>45929</v>
      </c>
      <c r="B394" s="28">
        <f t="shared" si="144"/>
        <v>103693878.21499899</v>
      </c>
      <c r="C394" s="29">
        <v>-2697717.73</v>
      </c>
      <c r="D394" s="29">
        <v>11126670.199999999</v>
      </c>
      <c r="E394" s="29">
        <v>0</v>
      </c>
      <c r="F394" s="29">
        <v>0</v>
      </c>
      <c r="G394" s="30">
        <f t="shared" si="143"/>
        <v>112122830.68499899</v>
      </c>
      <c r="H394" s="26" t="s">
        <v>4543</v>
      </c>
    </row>
    <row r="395" spans="1:8">
      <c r="A395" s="27">
        <v>45930</v>
      </c>
      <c r="B395" s="28">
        <f t="shared" si="144"/>
        <v>112122830.68499899</v>
      </c>
      <c r="C395" s="29">
        <v>-909727.81</v>
      </c>
      <c r="D395" s="29">
        <v>2764643.96</v>
      </c>
      <c r="E395" s="29">
        <v>10421259.09</v>
      </c>
      <c r="F395" s="29">
        <v>-4422081.04</v>
      </c>
      <c r="G395" s="30">
        <f t="shared" si="143"/>
        <v>119976924.88499898</v>
      </c>
      <c r="H395" s="26" t="s">
        <v>4554</v>
      </c>
    </row>
    <row r="396" spans="1:8">
      <c r="A396" s="27">
        <v>45931</v>
      </c>
      <c r="B396" s="28">
        <f t="shared" si="144"/>
        <v>119976924.88499898</v>
      </c>
      <c r="C396" s="29">
        <v>-3134903.79</v>
      </c>
      <c r="D396" s="29">
        <v>22505886.52</v>
      </c>
      <c r="E396" s="29">
        <v>45531946.090000004</v>
      </c>
      <c r="F396" s="29">
        <v>-664986.53</v>
      </c>
      <c r="G396" s="30">
        <f t="shared" si="143"/>
        <v>184214867.17499897</v>
      </c>
      <c r="H396" s="26" t="s">
        <v>4562</v>
      </c>
    </row>
    <row r="397" spans="1:8">
      <c r="A397" s="27">
        <v>45932</v>
      </c>
      <c r="B397" s="28">
        <f t="shared" ref="B397:B404" si="145">G396</f>
        <v>184214867.17499897</v>
      </c>
      <c r="C397" s="29">
        <v>-4829631.37</v>
      </c>
      <c r="D397" s="29">
        <v>26882808.109999999</v>
      </c>
      <c r="E397" s="29">
        <v>72559765.600000009</v>
      </c>
      <c r="F397" s="29">
        <v>-33318663.759999998</v>
      </c>
      <c r="G397" s="30">
        <f t="shared" si="143"/>
        <v>245509145.75499898</v>
      </c>
      <c r="H397" s="26" t="s">
        <v>4583</v>
      </c>
    </row>
    <row r="398" spans="1:8">
      <c r="A398" s="27">
        <v>45933</v>
      </c>
      <c r="B398" s="28">
        <f t="shared" si="145"/>
        <v>245509145.75499898</v>
      </c>
      <c r="C398" s="29">
        <v>-1838973.48</v>
      </c>
      <c r="D398" s="29">
        <v>610036.14</v>
      </c>
      <c r="E398" s="29">
        <v>33520201.91</v>
      </c>
      <c r="F398" s="29">
        <v>-6901157.6299999999</v>
      </c>
      <c r="G398" s="30">
        <f t="shared" si="143"/>
        <v>270899252.69499898</v>
      </c>
      <c r="H398" s="26" t="s">
        <v>4613</v>
      </c>
    </row>
    <row r="399" spans="1:8">
      <c r="A399" s="27">
        <v>45934</v>
      </c>
      <c r="B399" s="28">
        <f t="shared" si="145"/>
        <v>270899252.69499898</v>
      </c>
      <c r="C399" s="29">
        <v>0</v>
      </c>
      <c r="D399" s="29">
        <v>0</v>
      </c>
      <c r="E399" s="29">
        <v>0</v>
      </c>
      <c r="F399" s="29">
        <v>0</v>
      </c>
      <c r="G399" s="30">
        <f t="shared" si="143"/>
        <v>270899252.69499898</v>
      </c>
    </row>
    <row r="400" spans="1:8">
      <c r="A400" s="27">
        <v>45935</v>
      </c>
      <c r="B400" s="28">
        <f t="shared" si="145"/>
        <v>270899252.69499898</v>
      </c>
      <c r="C400" s="29">
        <v>0</v>
      </c>
      <c r="D400" s="29">
        <v>0</v>
      </c>
      <c r="E400" s="29">
        <v>0</v>
      </c>
      <c r="F400" s="29">
        <v>0</v>
      </c>
      <c r="G400" s="30">
        <f t="shared" si="143"/>
        <v>270899252.69499898</v>
      </c>
    </row>
    <row r="401" spans="1:8">
      <c r="A401" s="27">
        <v>45936</v>
      </c>
      <c r="B401" s="28">
        <f t="shared" si="145"/>
        <v>270899252.69499898</v>
      </c>
      <c r="C401" s="29">
        <v>-2485503.67</v>
      </c>
      <c r="D401" s="29">
        <v>47645.05</v>
      </c>
      <c r="E401" s="29">
        <v>0</v>
      </c>
      <c r="F401" s="29">
        <v>0</v>
      </c>
      <c r="G401" s="30">
        <f t="shared" si="143"/>
        <v>268461394.07499897</v>
      </c>
    </row>
    <row r="402" spans="1:8">
      <c r="A402" s="27">
        <v>45937</v>
      </c>
      <c r="B402" s="28">
        <f t="shared" si="145"/>
        <v>268461394.07499897</v>
      </c>
      <c r="C402" s="29">
        <v>-2069096.59</v>
      </c>
      <c r="D402" s="29">
        <v>4855005.0999999996</v>
      </c>
      <c r="E402" s="29">
        <v>75803.66</v>
      </c>
      <c r="F402" s="29">
        <v>-86919748.109999999</v>
      </c>
      <c r="G402" s="30">
        <f t="shared" si="143"/>
        <v>184403358.13499898</v>
      </c>
      <c r="H402" s="26" t="s">
        <v>4623</v>
      </c>
    </row>
    <row r="403" spans="1:8">
      <c r="A403" s="27">
        <v>45938</v>
      </c>
      <c r="B403" s="28">
        <f t="shared" si="145"/>
        <v>184403358.13499898</v>
      </c>
      <c r="C403" s="29">
        <v>-1766668.65</v>
      </c>
      <c r="D403" s="29">
        <v>12967928.82</v>
      </c>
      <c r="E403" s="29">
        <v>177787.36</v>
      </c>
      <c r="F403" s="29">
        <v>-214727.98</v>
      </c>
      <c r="G403" s="30">
        <f t="shared" si="143"/>
        <v>195567677.68499899</v>
      </c>
      <c r="H403" s="26" t="s">
        <v>4634</v>
      </c>
    </row>
    <row r="404" spans="1:8">
      <c r="A404" s="27">
        <v>45939</v>
      </c>
      <c r="B404" s="28">
        <f t="shared" si="145"/>
        <v>195567677.68499899</v>
      </c>
      <c r="C404" s="29">
        <v>-4412167.3499999996</v>
      </c>
      <c r="D404" s="29">
        <v>2126299.06</v>
      </c>
      <c r="E404" s="29">
        <v>6168976.3899999997</v>
      </c>
      <c r="F404" s="29">
        <v>-19690846.120000001</v>
      </c>
      <c r="G404" s="30">
        <f t="shared" si="143"/>
        <v>179759939.66499898</v>
      </c>
      <c r="H404" s="26" t="s">
        <v>4639</v>
      </c>
    </row>
    <row r="405" spans="1:8">
      <c r="A405" s="27">
        <v>45940</v>
      </c>
      <c r="B405" s="28">
        <f t="shared" ref="B405" si="146">G404</f>
        <v>179759939.66499898</v>
      </c>
      <c r="C405" s="29">
        <v>-2957266.7499999977</v>
      </c>
      <c r="D405" s="29">
        <v>3643845.94</v>
      </c>
      <c r="E405" s="29">
        <v>2753093.4800000009</v>
      </c>
      <c r="F405" s="29">
        <v>-1307678.07</v>
      </c>
      <c r="G405" s="30">
        <f t="shared" si="143"/>
        <v>181891934.26499897</v>
      </c>
      <c r="H405" s="26" t="s">
        <v>4663</v>
      </c>
    </row>
    <row r="406" spans="1:8">
      <c r="A406" s="27">
        <v>45941</v>
      </c>
      <c r="B406" s="28">
        <f t="shared" ref="B406:B409" si="147">G405</f>
        <v>181891934.26499897</v>
      </c>
      <c r="C406" s="29">
        <v>0</v>
      </c>
      <c r="D406" s="29">
        <v>0</v>
      </c>
      <c r="E406" s="29">
        <v>0</v>
      </c>
      <c r="F406" s="29">
        <v>0</v>
      </c>
      <c r="G406" s="30">
        <f t="shared" si="143"/>
        <v>181891934.26499897</v>
      </c>
    </row>
    <row r="407" spans="1:8">
      <c r="A407" s="27">
        <v>45942</v>
      </c>
      <c r="B407" s="28">
        <f t="shared" si="147"/>
        <v>181891934.26499897</v>
      </c>
      <c r="C407" s="29">
        <v>0</v>
      </c>
      <c r="D407" s="29">
        <v>0</v>
      </c>
      <c r="E407" s="29">
        <v>0</v>
      </c>
      <c r="F407" s="29">
        <v>0</v>
      </c>
      <c r="G407" s="30">
        <f t="shared" si="143"/>
        <v>181891934.26499897</v>
      </c>
    </row>
    <row r="408" spans="1:8">
      <c r="A408" s="27">
        <v>45943</v>
      </c>
      <c r="B408" s="28">
        <f t="shared" si="147"/>
        <v>181891934.26499897</v>
      </c>
      <c r="C408" s="29">
        <v>0</v>
      </c>
      <c r="D408" s="29">
        <v>0</v>
      </c>
      <c r="E408" s="29">
        <v>0</v>
      </c>
      <c r="F408" s="29">
        <v>0</v>
      </c>
      <c r="G408" s="30">
        <f t="shared" si="143"/>
        <v>181891934.26499897</v>
      </c>
    </row>
    <row r="409" spans="1:8">
      <c r="A409" s="27">
        <v>45944</v>
      </c>
      <c r="B409" s="28">
        <f t="shared" si="147"/>
        <v>181891934.26499897</v>
      </c>
      <c r="C409" s="29">
        <v>-1396888.6699999997</v>
      </c>
      <c r="D409" s="29">
        <v>5371555.4100000001</v>
      </c>
      <c r="E409" s="29">
        <v>154385.81000000008</v>
      </c>
      <c r="F409" s="29">
        <v>-740031.84000000008</v>
      </c>
      <c r="G409" s="30">
        <f t="shared" si="143"/>
        <v>185280954.97499898</v>
      </c>
      <c r="H409" s="26" t="s">
        <v>4669</v>
      </c>
    </row>
    <row r="410" spans="1:8">
      <c r="A410" s="27">
        <v>45945</v>
      </c>
      <c r="B410" s="28">
        <f t="shared" ref="B410" si="148">G409</f>
        <v>185280954.97499898</v>
      </c>
      <c r="C410" s="29">
        <v>-14423218.409999993</v>
      </c>
      <c r="D410" s="29">
        <v>53432463.380000003</v>
      </c>
      <c r="E410" s="29">
        <v>1279808.6500000001</v>
      </c>
      <c r="F410" s="29">
        <v>-1005337.89</v>
      </c>
      <c r="G410" s="30">
        <f t="shared" si="143"/>
        <v>224564670.704999</v>
      </c>
      <c r="H410" s="26" t="s">
        <v>4672</v>
      </c>
    </row>
    <row r="411" spans="1:8">
      <c r="A411" s="27">
        <v>45946</v>
      </c>
      <c r="B411" s="28">
        <f t="shared" ref="B411:B418" si="149">G410</f>
        <v>224564670.704999</v>
      </c>
      <c r="C411" s="29">
        <v>-3421383.4200000023</v>
      </c>
      <c r="D411" s="29">
        <v>1115283.3999999999</v>
      </c>
      <c r="E411" s="29">
        <v>2031328.29</v>
      </c>
      <c r="F411" s="29">
        <v>-584467.96000000008</v>
      </c>
      <c r="G411" s="30">
        <f t="shared" si="143"/>
        <v>223705431.01499897</v>
      </c>
      <c r="H411" s="26" t="s">
        <v>4684</v>
      </c>
    </row>
    <row r="412" spans="1:8">
      <c r="A412" s="27">
        <v>45947</v>
      </c>
      <c r="B412" s="28">
        <f t="shared" si="149"/>
        <v>223705431.01499897</v>
      </c>
      <c r="C412" s="29">
        <v>-2547589.15</v>
      </c>
      <c r="D412" s="29">
        <v>5029047.57</v>
      </c>
      <c r="E412" s="29">
        <v>1030917.96</v>
      </c>
      <c r="F412" s="29">
        <v>-789555.98</v>
      </c>
      <c r="G412" s="30">
        <f t="shared" si="143"/>
        <v>226428251.41499898</v>
      </c>
      <c r="H412" s="26" t="s">
        <v>4690</v>
      </c>
    </row>
    <row r="413" spans="1:8">
      <c r="A413" s="27">
        <v>45948</v>
      </c>
      <c r="B413" s="28">
        <f t="shared" si="149"/>
        <v>226428251.41499898</v>
      </c>
      <c r="C413" s="29">
        <v>0</v>
      </c>
      <c r="D413" s="29">
        <v>0</v>
      </c>
      <c r="E413" s="29">
        <v>0</v>
      </c>
      <c r="F413" s="29">
        <v>0</v>
      </c>
      <c r="G413" s="30">
        <f t="shared" si="143"/>
        <v>226428251.41499898</v>
      </c>
    </row>
    <row r="414" spans="1:8">
      <c r="A414" s="27">
        <v>45949</v>
      </c>
      <c r="B414" s="28">
        <f t="shared" si="149"/>
        <v>226428251.41499898</v>
      </c>
      <c r="C414" s="29">
        <v>0</v>
      </c>
      <c r="D414" s="29">
        <v>0</v>
      </c>
      <c r="E414" s="29">
        <v>0</v>
      </c>
      <c r="F414" s="29">
        <v>0</v>
      </c>
      <c r="G414" s="30">
        <f t="shared" si="143"/>
        <v>226428251.41499898</v>
      </c>
    </row>
    <row r="415" spans="1:8">
      <c r="A415" s="27">
        <v>45950</v>
      </c>
      <c r="B415" s="28">
        <f t="shared" si="149"/>
        <v>226428251.41499898</v>
      </c>
      <c r="C415" s="29">
        <v>-2758730.79</v>
      </c>
      <c r="D415" s="29">
        <v>6312445.2400000002</v>
      </c>
      <c r="E415" s="29">
        <v>67.92</v>
      </c>
      <c r="F415" s="29">
        <v>0</v>
      </c>
      <c r="G415" s="30">
        <f t="shared" si="143"/>
        <v>229982033.78499898</v>
      </c>
      <c r="H415" s="26" t="s">
        <v>4693</v>
      </c>
    </row>
    <row r="416" spans="1:8">
      <c r="A416" s="27">
        <v>45951</v>
      </c>
      <c r="B416" s="28">
        <f t="shared" si="149"/>
        <v>229982033.78499898</v>
      </c>
      <c r="C416" s="29">
        <v>-782520.66</v>
      </c>
      <c r="D416" s="29">
        <v>396725.53</v>
      </c>
      <c r="E416" s="29">
        <v>18179313.32</v>
      </c>
      <c r="F416" s="29">
        <v>-5174385.47</v>
      </c>
      <c r="G416" s="30">
        <f t="shared" si="143"/>
        <v>242601166.50499898</v>
      </c>
      <c r="H416" s="26" t="s">
        <v>4700</v>
      </c>
    </row>
    <row r="417" spans="1:8">
      <c r="A417" s="27">
        <v>45952</v>
      </c>
      <c r="B417" s="28">
        <f t="shared" si="149"/>
        <v>242601166.50499898</v>
      </c>
      <c r="C417" s="29">
        <v>-2716029</v>
      </c>
      <c r="D417" s="29">
        <v>1612677.45</v>
      </c>
      <c r="E417" s="29">
        <v>68564.31</v>
      </c>
      <c r="F417" s="29">
        <v>-86528619.530000001</v>
      </c>
      <c r="G417" s="30">
        <f t="shared" si="143"/>
        <v>155037759.73499897</v>
      </c>
      <c r="H417" s="26" t="s">
        <v>4708</v>
      </c>
    </row>
    <row r="418" spans="1:8">
      <c r="A418" s="27">
        <v>45953</v>
      </c>
      <c r="B418" s="28">
        <f t="shared" si="149"/>
        <v>155037759.73499897</v>
      </c>
      <c r="C418" s="29">
        <v>-3312179.47</v>
      </c>
      <c r="D418" s="29">
        <v>103628472.31999999</v>
      </c>
      <c r="E418" s="29">
        <v>4432714.49</v>
      </c>
      <c r="F418" s="29">
        <v>-5400298.7199999997</v>
      </c>
      <c r="G418" s="30">
        <f t="shared" si="143"/>
        <v>254386468.35499898</v>
      </c>
      <c r="H418" s="26" t="s">
        <v>4715</v>
      </c>
    </row>
    <row r="419" spans="1:8">
      <c r="A419" s="27">
        <v>45954</v>
      </c>
      <c r="B419" s="28">
        <f t="shared" ref="B419" si="150">G418</f>
        <v>254386468.35499898</v>
      </c>
      <c r="C419" s="29">
        <v>-9336333.2600000016</v>
      </c>
      <c r="D419" s="29">
        <v>4807661.51</v>
      </c>
      <c r="E419" s="29">
        <v>9664391.5999999978</v>
      </c>
      <c r="F419" s="29">
        <v>-37203948.339999996</v>
      </c>
      <c r="G419" s="30">
        <f t="shared" si="143"/>
        <v>222318239.86499897</v>
      </c>
      <c r="H419" s="26" t="s">
        <v>4729</v>
      </c>
    </row>
    <row r="420" spans="1:8">
      <c r="A420" s="27">
        <v>45955</v>
      </c>
      <c r="B420" s="28">
        <f t="shared" ref="B420:B421" si="151">G419</f>
        <v>222318239.86499897</v>
      </c>
      <c r="C420" s="29">
        <v>0</v>
      </c>
      <c r="D420" s="29">
        <v>0</v>
      </c>
      <c r="E420" s="29">
        <v>0</v>
      </c>
      <c r="F420" s="29">
        <v>0</v>
      </c>
      <c r="G420" s="30">
        <f t="shared" si="143"/>
        <v>222318239.86499897</v>
      </c>
    </row>
    <row r="421" spans="1:8">
      <c r="A421" s="27">
        <v>45956</v>
      </c>
      <c r="B421" s="28">
        <f t="shared" si="151"/>
        <v>222318239.86499897</v>
      </c>
      <c r="C421" s="29">
        <v>0</v>
      </c>
      <c r="D421" s="29">
        <v>0</v>
      </c>
      <c r="E421" s="29">
        <v>0</v>
      </c>
      <c r="F421" s="29">
        <v>0</v>
      </c>
      <c r="G421" s="30">
        <f t="shared" si="143"/>
        <v>222318239.86499897</v>
      </c>
    </row>
    <row r="422" spans="1:8">
      <c r="A422" s="27">
        <v>45957</v>
      </c>
      <c r="B422" s="28">
        <f t="shared" ref="B422" si="152">G421</f>
        <v>222318239.86499897</v>
      </c>
      <c r="C422" s="29">
        <v>-1793572.8499999996</v>
      </c>
      <c r="D422" s="29">
        <v>2538906.71</v>
      </c>
      <c r="E422" s="29">
        <f>204246.38-2422.02</f>
        <v>201824.36000000002</v>
      </c>
      <c r="F422" s="29">
        <v>-50170.009999999995</v>
      </c>
      <c r="G422" s="30">
        <f t="shared" si="143"/>
        <v>223215228.074999</v>
      </c>
      <c r="H422" s="26" t="s">
        <v>4760</v>
      </c>
    </row>
    <row r="423" spans="1:8">
      <c r="A423" s="27">
        <v>45958</v>
      </c>
      <c r="B423" s="28">
        <f t="shared" ref="B423" si="153">G422</f>
        <v>223215228.074999</v>
      </c>
      <c r="C423" s="29">
        <v>-3869397.45</v>
      </c>
      <c r="D423" s="29">
        <v>6579390.2599999998</v>
      </c>
      <c r="E423" s="29">
        <f>540492.04+2422.02</f>
        <v>542914.06000000006</v>
      </c>
      <c r="F423" s="29">
        <v>-1715099.87</v>
      </c>
      <c r="G423" s="30">
        <f t="shared" si="143"/>
        <v>224753035.074999</v>
      </c>
      <c r="H423" s="26" t="s">
        <v>4766</v>
      </c>
    </row>
    <row r="424" spans="1:8">
      <c r="A424" s="27">
        <v>45959</v>
      </c>
      <c r="B424" s="28">
        <f t="shared" ref="B424:B432" si="154">G423</f>
        <v>224753035.074999</v>
      </c>
      <c r="C424" s="29">
        <v>-4748793.6399999997</v>
      </c>
      <c r="D424" s="29">
        <v>653798.76</v>
      </c>
      <c r="E424" s="29">
        <v>271698.93999999994</v>
      </c>
      <c r="F424" s="29">
        <v>-6503969.8799999999</v>
      </c>
      <c r="G424" s="30">
        <f t="shared" si="143"/>
        <v>214425769.25499901</v>
      </c>
      <c r="H424" s="26" t="s">
        <v>4775</v>
      </c>
    </row>
    <row r="425" spans="1:8">
      <c r="A425" s="27">
        <v>45960</v>
      </c>
      <c r="B425" s="28">
        <f t="shared" si="154"/>
        <v>214425769.25499901</v>
      </c>
      <c r="C425" s="29">
        <v>-3083430.35</v>
      </c>
      <c r="D425" s="29">
        <v>7798576.9100000001</v>
      </c>
      <c r="E425" s="29">
        <v>1841322.83</v>
      </c>
      <c r="F425" s="29">
        <v>-1326334.8400000001</v>
      </c>
      <c r="G425" s="30">
        <f t="shared" si="143"/>
        <v>219655903.80499902</v>
      </c>
      <c r="H425" s="26" t="s">
        <v>4785</v>
      </c>
    </row>
    <row r="426" spans="1:8">
      <c r="A426" s="27">
        <v>45961</v>
      </c>
      <c r="B426" s="28">
        <f t="shared" si="154"/>
        <v>219655903.80499902</v>
      </c>
      <c r="C426" s="29">
        <v>-3699984.64</v>
      </c>
      <c r="D426" s="29">
        <v>11052249.35</v>
      </c>
      <c r="E426" s="29">
        <v>6082728.3700000001</v>
      </c>
      <c r="F426" s="29">
        <v>-3997962.19</v>
      </c>
      <c r="G426" s="30">
        <f t="shared" si="143"/>
        <v>229092934.69499904</v>
      </c>
      <c r="H426" s="26" t="s">
        <v>4794</v>
      </c>
    </row>
    <row r="427" spans="1:8">
      <c r="A427" s="27">
        <v>45962</v>
      </c>
      <c r="B427" s="28">
        <f t="shared" si="154"/>
        <v>229092934.69499904</v>
      </c>
      <c r="C427" s="29">
        <v>0</v>
      </c>
      <c r="D427" s="29">
        <v>0</v>
      </c>
      <c r="E427" s="29">
        <v>0</v>
      </c>
      <c r="F427" s="29">
        <v>0</v>
      </c>
      <c r="G427" s="30">
        <f t="shared" si="143"/>
        <v>229092934.69499904</v>
      </c>
    </row>
    <row r="428" spans="1:8">
      <c r="A428" s="27">
        <v>45963</v>
      </c>
      <c r="B428" s="28">
        <f t="shared" si="154"/>
        <v>229092934.69499904</v>
      </c>
      <c r="C428" s="29">
        <v>0</v>
      </c>
      <c r="D428" s="29">
        <v>0</v>
      </c>
      <c r="E428" s="29">
        <v>0</v>
      </c>
      <c r="F428" s="29">
        <v>0</v>
      </c>
      <c r="G428" s="30">
        <f t="shared" si="143"/>
        <v>229092934.69499904</v>
      </c>
    </row>
    <row r="429" spans="1:8">
      <c r="A429" s="27">
        <v>45964</v>
      </c>
      <c r="B429" s="28">
        <f t="shared" si="154"/>
        <v>229092934.69499904</v>
      </c>
      <c r="C429" s="29">
        <v>-5872705.3300000001</v>
      </c>
      <c r="D429" s="29">
        <v>2405384.73</v>
      </c>
      <c r="E429" s="29">
        <v>0</v>
      </c>
      <c r="F429" s="29">
        <v>0</v>
      </c>
      <c r="G429" s="30">
        <f t="shared" si="143"/>
        <v>225625614.09499902</v>
      </c>
      <c r="H429" s="26" t="s">
        <v>4815</v>
      </c>
    </row>
    <row r="430" spans="1:8">
      <c r="A430" s="27">
        <v>45965</v>
      </c>
      <c r="B430" s="28">
        <f t="shared" si="154"/>
        <v>225625614.09499902</v>
      </c>
      <c r="C430" s="29">
        <v>-5842915.2300000004</v>
      </c>
      <c r="D430" s="29">
        <v>6151848.5599999996</v>
      </c>
      <c r="E430" s="29">
        <v>12572302.15</v>
      </c>
      <c r="F430" s="29">
        <v>-93232474.969999999</v>
      </c>
      <c r="G430" s="30">
        <f t="shared" si="143"/>
        <v>145274374.60499904</v>
      </c>
      <c r="H430" s="26" t="s">
        <v>4817</v>
      </c>
    </row>
    <row r="431" spans="1:8">
      <c r="A431" s="27">
        <v>45966</v>
      </c>
      <c r="B431" s="28">
        <f t="shared" si="154"/>
        <v>145274374.60499904</v>
      </c>
      <c r="C431" s="29">
        <v>-2889225.68</v>
      </c>
      <c r="D431" s="29">
        <v>907094.45</v>
      </c>
      <c r="E431" s="29">
        <v>11882572.619999999</v>
      </c>
      <c r="F431" s="29">
        <v>-143059621.71000001</v>
      </c>
      <c r="G431" s="30">
        <f t="shared" si="143"/>
        <v>12115194.284999013</v>
      </c>
      <c r="H431" s="26" t="s">
        <v>4866</v>
      </c>
    </row>
    <row r="432" spans="1:8">
      <c r="A432" s="27">
        <v>45967</v>
      </c>
      <c r="B432" s="28">
        <f t="shared" si="154"/>
        <v>12115194.284999013</v>
      </c>
      <c r="C432" s="29">
        <v>-3303204.18</v>
      </c>
      <c r="D432" s="29">
        <v>3286782.84</v>
      </c>
      <c r="E432" s="29">
        <v>5837035.8700000001</v>
      </c>
      <c r="F432" s="29">
        <v>-790364.33</v>
      </c>
      <c r="G432" s="30">
        <f t="shared" si="143"/>
        <v>17145444.484999016</v>
      </c>
      <c r="H432" s="26" t="s">
        <v>4867</v>
      </c>
    </row>
    <row r="433" spans="1:8">
      <c r="A433" s="27">
        <v>45968</v>
      </c>
      <c r="B433" s="28">
        <f t="shared" ref="B433" si="155">G432</f>
        <v>17145444.484999016</v>
      </c>
      <c r="C433" s="29">
        <v>-7104405.7600000007</v>
      </c>
      <c r="D433" s="29">
        <v>2763659.3600000008</v>
      </c>
      <c r="E433" s="29">
        <v>5880758.1600000001</v>
      </c>
      <c r="F433" s="29">
        <v>-2825785.02</v>
      </c>
      <c r="G433" s="30">
        <f t="shared" si="143"/>
        <v>15859671.224999014</v>
      </c>
      <c r="H433" s="26" t="s">
        <v>4875</v>
      </c>
    </row>
    <row r="434" spans="1:8">
      <c r="A434" s="27">
        <v>45969</v>
      </c>
      <c r="B434" s="28">
        <f t="shared" ref="B434:B436" si="156">G433</f>
        <v>15859671.224999014</v>
      </c>
      <c r="C434" s="29">
        <v>0</v>
      </c>
      <c r="D434" s="29">
        <v>0</v>
      </c>
      <c r="E434" s="29">
        <v>0</v>
      </c>
      <c r="F434" s="29">
        <v>0</v>
      </c>
      <c r="G434" s="30">
        <f t="shared" si="143"/>
        <v>15859671.224999014</v>
      </c>
    </row>
    <row r="435" spans="1:8">
      <c r="A435" s="27">
        <v>45970</v>
      </c>
      <c r="B435" s="28">
        <f t="shared" si="156"/>
        <v>15859671.224999014</v>
      </c>
      <c r="C435" s="29">
        <v>0</v>
      </c>
      <c r="D435" s="29">
        <v>0</v>
      </c>
      <c r="E435" s="29">
        <v>0</v>
      </c>
      <c r="F435" s="29">
        <v>0</v>
      </c>
      <c r="G435" s="30">
        <f t="shared" si="143"/>
        <v>15859671.224999014</v>
      </c>
    </row>
    <row r="436" spans="1:8">
      <c r="A436" s="27">
        <v>45971</v>
      </c>
      <c r="B436" s="28">
        <f t="shared" si="156"/>
        <v>15859671.224999014</v>
      </c>
      <c r="C436" s="29">
        <v>-3400372.7499999995</v>
      </c>
      <c r="D436" s="29">
        <v>3299290.65</v>
      </c>
      <c r="E436" s="29">
        <v>4282955.959999999</v>
      </c>
      <c r="F436" s="29">
        <v>-17600</v>
      </c>
      <c r="G436" s="30">
        <f t="shared" si="143"/>
        <v>20023945.084999014</v>
      </c>
      <c r="H436" s="26" t="s">
        <v>4888</v>
      </c>
    </row>
    <row r="437" spans="1:8">
      <c r="A437" s="27">
        <v>45972</v>
      </c>
      <c r="B437" s="28">
        <f t="shared" ref="B437:B438" si="157">G436</f>
        <v>20023945.084999014</v>
      </c>
      <c r="C437" s="29">
        <v>0</v>
      </c>
      <c r="D437" s="29">
        <v>0</v>
      </c>
      <c r="E437" s="29">
        <v>0</v>
      </c>
      <c r="F437" s="29">
        <v>0</v>
      </c>
      <c r="G437" s="30">
        <f t="shared" si="143"/>
        <v>20023945.084999014</v>
      </c>
    </row>
    <row r="438" spans="1:8">
      <c r="A438" s="27">
        <v>45973</v>
      </c>
      <c r="B438" s="28">
        <f t="shared" si="157"/>
        <v>20023945.084999014</v>
      </c>
      <c r="C438" s="29">
        <v>-3054772.3899999997</v>
      </c>
      <c r="D438" s="29">
        <v>720099.54</v>
      </c>
      <c r="E438" s="29">
        <v>317027.37000000005</v>
      </c>
      <c r="F438" s="29">
        <v>-963483.10000000009</v>
      </c>
      <c r="G438" s="30">
        <f t="shared" si="143"/>
        <v>17042816.504999012</v>
      </c>
      <c r="H438" s="26" t="s">
        <v>4894</v>
      </c>
    </row>
    <row r="439" spans="1:8">
      <c r="A439" s="27">
        <v>45974</v>
      </c>
      <c r="B439" s="28">
        <f t="shared" ref="B439:B446" si="158">G438</f>
        <v>17042816.504999012</v>
      </c>
      <c r="C439" s="29">
        <v>-2468456.1900000004</v>
      </c>
      <c r="D439" s="29">
        <v>7256062.0700000012</v>
      </c>
      <c r="E439" s="29">
        <v>19909108.349999994</v>
      </c>
      <c r="F439" s="29">
        <v>-446.11</v>
      </c>
      <c r="G439" s="30">
        <f t="shared" si="143"/>
        <v>41739084.624999002</v>
      </c>
      <c r="H439" s="26" t="s">
        <v>4897</v>
      </c>
    </row>
    <row r="440" spans="1:8">
      <c r="A440" s="27">
        <v>45975</v>
      </c>
      <c r="B440" s="28">
        <f t="shared" si="158"/>
        <v>41739084.624999002</v>
      </c>
      <c r="C440" s="29">
        <v>-2075099.23</v>
      </c>
      <c r="D440" s="29">
        <v>741872.17</v>
      </c>
      <c r="E440" s="29">
        <v>126199876.84</v>
      </c>
      <c r="F440" s="29">
        <v>-522180.96</v>
      </c>
      <c r="G440" s="30">
        <f t="shared" si="143"/>
        <v>166083553.44499901</v>
      </c>
      <c r="H440" s="26" t="s">
        <v>4906</v>
      </c>
    </row>
    <row r="441" spans="1:8">
      <c r="A441" s="27">
        <v>45976</v>
      </c>
      <c r="B441" s="28">
        <f t="shared" si="158"/>
        <v>166083553.44499901</v>
      </c>
      <c r="C441" s="29">
        <v>0</v>
      </c>
      <c r="D441" s="29">
        <v>0</v>
      </c>
      <c r="E441" s="29">
        <v>0</v>
      </c>
      <c r="F441" s="29">
        <v>0</v>
      </c>
      <c r="G441" s="30">
        <f t="shared" si="143"/>
        <v>166083553.44499901</v>
      </c>
    </row>
    <row r="442" spans="1:8">
      <c r="A442" s="27">
        <v>45977</v>
      </c>
      <c r="B442" s="28">
        <f t="shared" si="158"/>
        <v>166083553.44499901</v>
      </c>
      <c r="C442" s="29">
        <v>0</v>
      </c>
      <c r="D442" s="29">
        <v>0</v>
      </c>
      <c r="E442" s="29">
        <v>0</v>
      </c>
      <c r="F442" s="29">
        <v>0</v>
      </c>
      <c r="G442" s="30">
        <f t="shared" si="143"/>
        <v>166083553.44499901</v>
      </c>
    </row>
    <row r="443" spans="1:8">
      <c r="A443" s="27">
        <v>45978</v>
      </c>
      <c r="B443" s="28">
        <f t="shared" si="158"/>
        <v>166083553.44499901</v>
      </c>
      <c r="C443" s="29">
        <v>-3347762.52</v>
      </c>
      <c r="D443" s="29">
        <v>1923345.49</v>
      </c>
      <c r="E443" s="29">
        <v>6478.5</v>
      </c>
      <c r="F443" s="29">
        <v>-34149</v>
      </c>
      <c r="G443" s="30">
        <f t="shared" si="143"/>
        <v>164631465.91499901</v>
      </c>
      <c r="H443" s="26" t="s">
        <v>4914</v>
      </c>
    </row>
    <row r="444" spans="1:8">
      <c r="A444" s="27">
        <v>45979</v>
      </c>
      <c r="B444" s="28">
        <f t="shared" si="158"/>
        <v>164631465.91499901</v>
      </c>
      <c r="C444" s="29">
        <v>-1767266.96</v>
      </c>
      <c r="D444" s="29">
        <v>1081021.93</v>
      </c>
      <c r="E444" s="29">
        <v>37829002.649999999</v>
      </c>
      <c r="F444" s="29">
        <v>-16150528.310000001</v>
      </c>
      <c r="G444" s="30">
        <f t="shared" si="143"/>
        <v>185623695.22499901</v>
      </c>
      <c r="H444" s="26" t="s">
        <v>4917</v>
      </c>
    </row>
    <row r="445" spans="1:8">
      <c r="A445" s="27">
        <v>45980</v>
      </c>
      <c r="B445" s="28">
        <f t="shared" si="158"/>
        <v>185623695.22499901</v>
      </c>
      <c r="C445" s="29">
        <v>-2592128.58</v>
      </c>
      <c r="D445" s="29">
        <v>5291118.32</v>
      </c>
      <c r="E445" s="29">
        <v>11442288.92</v>
      </c>
      <c r="F445" s="29">
        <v>-78513844.840000004</v>
      </c>
      <c r="G445" s="30">
        <f t="shared" si="143"/>
        <v>121251129.04499897</v>
      </c>
      <c r="H445" s="26" t="s">
        <v>4931</v>
      </c>
    </row>
    <row r="446" spans="1:8">
      <c r="A446" s="27">
        <v>45981</v>
      </c>
      <c r="B446" s="28">
        <f t="shared" si="158"/>
        <v>121251129.04499897</v>
      </c>
      <c r="C446" s="29">
        <v>-5818509.5</v>
      </c>
      <c r="D446" s="29">
        <v>1361217.67</v>
      </c>
      <c r="E446" s="29">
        <v>555214.42000000004</v>
      </c>
      <c r="F446" s="29">
        <v>-418561.89</v>
      </c>
      <c r="G446" s="30">
        <f t="shared" si="143"/>
        <v>116930489.74499898</v>
      </c>
      <c r="H446" s="26" t="s">
        <v>4943</v>
      </c>
    </row>
    <row r="447" spans="1:8">
      <c r="A447" s="27">
        <v>45982</v>
      </c>
      <c r="B447" s="28">
        <f t="shared" ref="B447:B452" si="159">G446</f>
        <v>116930489.74499898</v>
      </c>
      <c r="C447" s="29">
        <v>-2900077.4500000007</v>
      </c>
      <c r="D447" s="29">
        <v>3852212.92</v>
      </c>
      <c r="E447" s="29">
        <v>178346.55000000002</v>
      </c>
      <c r="F447" s="29">
        <v>-71.760000000000005</v>
      </c>
      <c r="G447" s="30">
        <f t="shared" si="143"/>
        <v>118060900.00499897</v>
      </c>
      <c r="H447" s="26" t="s">
        <v>4946</v>
      </c>
    </row>
    <row r="448" spans="1:8">
      <c r="A448" s="27">
        <v>45983</v>
      </c>
      <c r="B448" s="28">
        <f t="shared" si="159"/>
        <v>118060900.00499897</v>
      </c>
      <c r="C448" s="29">
        <v>0</v>
      </c>
      <c r="D448" s="29">
        <v>0</v>
      </c>
      <c r="E448" s="29">
        <v>0</v>
      </c>
      <c r="F448" s="29">
        <v>0</v>
      </c>
      <c r="G448" s="30">
        <f t="shared" si="143"/>
        <v>118060900.00499897</v>
      </c>
    </row>
    <row r="449" spans="1:8">
      <c r="A449" s="27">
        <v>45984</v>
      </c>
      <c r="B449" s="28">
        <f t="shared" si="159"/>
        <v>118060900.00499897</v>
      </c>
      <c r="C449" s="29">
        <v>0</v>
      </c>
      <c r="D449" s="29">
        <v>0</v>
      </c>
      <c r="E449" s="29">
        <v>0</v>
      </c>
      <c r="F449" s="29">
        <v>0</v>
      </c>
      <c r="G449" s="30">
        <f t="shared" si="143"/>
        <v>118060900.00499897</v>
      </c>
    </row>
    <row r="450" spans="1:8">
      <c r="A450" s="27">
        <v>45985</v>
      </c>
      <c r="B450" s="28">
        <f t="shared" si="159"/>
        <v>118060900.00499897</v>
      </c>
      <c r="C450" s="29">
        <v>-2572338.75</v>
      </c>
      <c r="D450" s="29">
        <v>11138118.539999999</v>
      </c>
      <c r="E450" s="29">
        <v>3953045.06</v>
      </c>
      <c r="F450" s="29">
        <v>-3120308.57</v>
      </c>
      <c r="G450" s="30">
        <f t="shared" si="143"/>
        <v>127459416.28499898</v>
      </c>
      <c r="H450" s="26" t="s">
        <v>4949</v>
      </c>
    </row>
    <row r="451" spans="1:8">
      <c r="A451" s="27">
        <v>45986</v>
      </c>
      <c r="B451" s="28">
        <f t="shared" si="159"/>
        <v>127459416.28499898</v>
      </c>
      <c r="C451" s="29">
        <v>-2976626.41</v>
      </c>
      <c r="D451" s="29">
        <v>2314479.23</v>
      </c>
      <c r="E451" s="29">
        <v>31094773.760000002</v>
      </c>
      <c r="F451" s="29">
        <v>-2818293.48</v>
      </c>
      <c r="G451" s="30">
        <f t="shared" si="143"/>
        <v>155073749.38499901</v>
      </c>
      <c r="H451" s="26" t="s">
        <v>4963</v>
      </c>
    </row>
    <row r="452" spans="1:8">
      <c r="A452" s="27">
        <v>45987</v>
      </c>
      <c r="B452" s="28">
        <f t="shared" si="159"/>
        <v>155073749.38499901</v>
      </c>
      <c r="C452" s="29">
        <v>-5198051.91</v>
      </c>
      <c r="D452" s="29">
        <v>1626841.33</v>
      </c>
      <c r="E452" s="29">
        <v>30875549.57</v>
      </c>
      <c r="F452" s="29">
        <f>-2149910.85-0.1</f>
        <v>-2149910.9500000002</v>
      </c>
      <c r="G452" s="30">
        <f t="shared" si="143"/>
        <v>180228177.42499903</v>
      </c>
      <c r="H452" s="26" t="s">
        <v>4969</v>
      </c>
    </row>
    <row r="453" spans="1:8">
      <c r="A453" s="27">
        <v>45988</v>
      </c>
      <c r="B453" s="28">
        <f t="shared" ref="B453:B457" si="160">G452</f>
        <v>180228177.42499903</v>
      </c>
      <c r="C453" s="29">
        <v>0</v>
      </c>
      <c r="D453" s="29">
        <v>0</v>
      </c>
      <c r="E453" s="29">
        <v>0</v>
      </c>
      <c r="F453" s="29">
        <v>0</v>
      </c>
      <c r="G453" s="30">
        <f t="shared" si="143"/>
        <v>180228177.42499903</v>
      </c>
    </row>
    <row r="454" spans="1:8">
      <c r="A454" s="27">
        <v>45989</v>
      </c>
      <c r="B454" s="28">
        <f t="shared" si="160"/>
        <v>180228177.42499903</v>
      </c>
      <c r="C454" s="29">
        <v>0</v>
      </c>
      <c r="D454" s="29">
        <v>0</v>
      </c>
      <c r="E454" s="29">
        <v>0</v>
      </c>
      <c r="F454" s="29">
        <v>0</v>
      </c>
      <c r="G454" s="30">
        <f t="shared" ref="G454:G518" si="161">SUM(B454:F454)</f>
        <v>180228177.42499903</v>
      </c>
    </row>
    <row r="455" spans="1:8">
      <c r="A455" s="27">
        <v>45990</v>
      </c>
      <c r="B455" s="28">
        <f t="shared" si="160"/>
        <v>180228177.42499903</v>
      </c>
      <c r="C455" s="29">
        <v>0</v>
      </c>
      <c r="D455" s="29">
        <v>0</v>
      </c>
      <c r="E455" s="29">
        <v>0</v>
      </c>
      <c r="F455" s="29">
        <v>0</v>
      </c>
      <c r="G455" s="30">
        <f t="shared" si="161"/>
        <v>180228177.42499903</v>
      </c>
    </row>
    <row r="456" spans="1:8">
      <c r="A456" s="27">
        <v>45991</v>
      </c>
      <c r="B456" s="28">
        <f t="shared" si="160"/>
        <v>180228177.42499903</v>
      </c>
      <c r="C456" s="29">
        <v>0</v>
      </c>
      <c r="D456" s="29">
        <v>0</v>
      </c>
      <c r="E456" s="29">
        <v>0</v>
      </c>
      <c r="F456" s="29">
        <v>0</v>
      </c>
      <c r="G456" s="30">
        <f t="shared" si="161"/>
        <v>180228177.42499903</v>
      </c>
    </row>
    <row r="457" spans="1:8">
      <c r="A457" s="27">
        <v>45992</v>
      </c>
      <c r="B457" s="28">
        <f t="shared" si="160"/>
        <v>180228177.42499903</v>
      </c>
      <c r="C457" s="29">
        <v>-4232410.7700000014</v>
      </c>
      <c r="D457" s="29">
        <v>6628555.0800000001</v>
      </c>
      <c r="E457" s="29">
        <v>41045104.380000018</v>
      </c>
      <c r="F457" s="29">
        <v>-2367123.54</v>
      </c>
      <c r="G457" s="30">
        <f t="shared" si="161"/>
        <v>221302302.57499906</v>
      </c>
      <c r="H457" s="26" t="s">
        <v>4980</v>
      </c>
    </row>
    <row r="458" spans="1:8">
      <c r="A458" s="27">
        <v>45993</v>
      </c>
      <c r="B458" s="28">
        <f t="shared" ref="B458" si="162">G457</f>
        <v>221302302.57499906</v>
      </c>
      <c r="C458" s="29">
        <v>-9284108.4000000041</v>
      </c>
      <c r="D458" s="29">
        <v>41450904.840000004</v>
      </c>
      <c r="E458" s="29">
        <v>52158973.769999988</v>
      </c>
      <c r="F458" s="29">
        <v>-16062340.300000001</v>
      </c>
      <c r="G458" s="30">
        <f t="shared" si="161"/>
        <v>289565732.48499906</v>
      </c>
      <c r="H458" s="26" t="s">
        <v>4989</v>
      </c>
    </row>
    <row r="459" spans="1:8">
      <c r="A459" s="27">
        <v>45994</v>
      </c>
      <c r="B459" s="28">
        <f t="shared" ref="B459" si="163">G458</f>
        <v>289565732.48499906</v>
      </c>
      <c r="C459" s="29">
        <v>-1859789.1599999995</v>
      </c>
      <c r="D459" s="29">
        <v>78893.73000000001</v>
      </c>
      <c r="E459" s="29">
        <v>15762754.480000002</v>
      </c>
      <c r="F459" s="29">
        <v>-3858509.79</v>
      </c>
      <c r="G459" s="30">
        <f t="shared" si="161"/>
        <v>299689081.74499905</v>
      </c>
      <c r="H459" s="26" t="s">
        <v>5028</v>
      </c>
    </row>
    <row r="460" spans="1:8">
      <c r="A460" s="27">
        <v>45995</v>
      </c>
      <c r="B460" s="28">
        <f t="shared" ref="B460" si="164">G459</f>
        <v>299689081.74499905</v>
      </c>
      <c r="C460" s="29">
        <v>-2669679.669999999</v>
      </c>
      <c r="D460" s="29">
        <v>1204978.2700000003</v>
      </c>
      <c r="E460" s="29">
        <v>5396657.9000000013</v>
      </c>
      <c r="F460" s="29">
        <v>-90141979.760000005</v>
      </c>
      <c r="G460" s="30">
        <f t="shared" si="161"/>
        <v>213479058.484999</v>
      </c>
      <c r="H460" s="26" t="s">
        <v>5034</v>
      </c>
    </row>
    <row r="461" spans="1:8">
      <c r="A461" s="27">
        <v>45996</v>
      </c>
      <c r="B461" s="28">
        <f t="shared" ref="B461" si="165">G460</f>
        <v>213479058.484999</v>
      </c>
      <c r="C461" s="29">
        <v>-5498577.5399999991</v>
      </c>
      <c r="D461" s="29">
        <v>1114112.83</v>
      </c>
      <c r="E461" s="29">
        <v>522233.83999999997</v>
      </c>
      <c r="F461" s="29">
        <v>-62602.89</v>
      </c>
      <c r="G461" s="30">
        <f t="shared" si="161"/>
        <v>209554224.72499904</v>
      </c>
      <c r="H461" s="26" t="s">
        <v>5042</v>
      </c>
    </row>
    <row r="462" spans="1:8">
      <c r="A462" s="27">
        <v>45997</v>
      </c>
      <c r="B462" s="28">
        <f t="shared" ref="B462:B463" si="166">G461</f>
        <v>209554224.72499904</v>
      </c>
      <c r="C462" s="29">
        <v>0</v>
      </c>
      <c r="D462" s="29">
        <v>0</v>
      </c>
      <c r="E462" s="29">
        <v>0</v>
      </c>
      <c r="F462" s="29">
        <v>0</v>
      </c>
      <c r="G462" s="30">
        <f t="shared" si="161"/>
        <v>209554224.72499904</v>
      </c>
    </row>
    <row r="463" spans="1:8">
      <c r="A463" s="27">
        <v>45998</v>
      </c>
      <c r="B463" s="28">
        <f t="shared" si="166"/>
        <v>209554224.72499904</v>
      </c>
      <c r="C463" s="29">
        <v>0</v>
      </c>
      <c r="D463" s="29">
        <v>0</v>
      </c>
      <c r="E463" s="29">
        <v>0</v>
      </c>
      <c r="F463" s="29">
        <v>0</v>
      </c>
      <c r="G463" s="30">
        <f t="shared" si="161"/>
        <v>209554224.72499904</v>
      </c>
    </row>
    <row r="464" spans="1:8">
      <c r="A464" s="27">
        <v>45999</v>
      </c>
      <c r="B464" s="28">
        <f t="shared" ref="B464" si="167">G463</f>
        <v>209554224.72499904</v>
      </c>
      <c r="C464" s="29">
        <v>-3888464.8299999996</v>
      </c>
      <c r="D464" s="29">
        <v>600311.97</v>
      </c>
      <c r="E464" s="29">
        <v>0</v>
      </c>
      <c r="F464" s="29">
        <v>0</v>
      </c>
      <c r="G464" s="30">
        <f t="shared" si="161"/>
        <v>206266071.86499903</v>
      </c>
      <c r="H464" s="26" t="s">
        <v>5047</v>
      </c>
    </row>
    <row r="465" spans="1:8">
      <c r="A465" s="27">
        <v>46000</v>
      </c>
      <c r="B465" s="28">
        <f t="shared" ref="B465" si="168">G464</f>
        <v>206266071.86499903</v>
      </c>
      <c r="C465" s="29">
        <v>-3514540.1900000023</v>
      </c>
      <c r="D465" s="29">
        <v>443376.16</v>
      </c>
      <c r="E465" s="29">
        <v>727989.95999999985</v>
      </c>
      <c r="F465" s="29">
        <v>-61283154.930000007</v>
      </c>
      <c r="G465" s="30">
        <f t="shared" si="161"/>
        <v>142639742.86499903</v>
      </c>
      <c r="H465" s="26" t="s">
        <v>5050</v>
      </c>
    </row>
    <row r="466" spans="1:8">
      <c r="A466" s="27">
        <v>46001</v>
      </c>
      <c r="B466" s="28">
        <f t="shared" ref="B466" si="169">G465</f>
        <v>142639742.86499903</v>
      </c>
      <c r="C466" s="29">
        <v>-8983942.3999999948</v>
      </c>
      <c r="D466" s="29">
        <v>5853095.6900000004</v>
      </c>
      <c r="E466" s="29">
        <v>317529.64999999997</v>
      </c>
      <c r="F466" s="29">
        <v>-3410934.34</v>
      </c>
      <c r="G466" s="30">
        <f t="shared" si="161"/>
        <v>136415491.46499905</v>
      </c>
      <c r="H466" s="26" t="s">
        <v>5076</v>
      </c>
    </row>
    <row r="467" spans="1:8">
      <c r="A467" s="27">
        <v>46002</v>
      </c>
      <c r="B467" s="28">
        <f t="shared" ref="B467:B471" si="170">G466</f>
        <v>136415491.46499905</v>
      </c>
      <c r="C467" s="29">
        <v>-3739344.8800000004</v>
      </c>
      <c r="D467" s="29">
        <v>1689317.02</v>
      </c>
      <c r="E467" s="29">
        <v>9303485.1100000013</v>
      </c>
      <c r="F467" s="29">
        <v>-4184846.94</v>
      </c>
      <c r="G467" s="30">
        <f t="shared" si="161"/>
        <v>139484101.77499908</v>
      </c>
      <c r="H467" s="26" t="s">
        <v>5083</v>
      </c>
    </row>
    <row r="468" spans="1:8">
      <c r="A468" s="27">
        <v>46003</v>
      </c>
      <c r="B468" s="28">
        <f t="shared" si="170"/>
        <v>139484101.77499908</v>
      </c>
      <c r="C468" s="29">
        <v>-4213036.9000000004</v>
      </c>
      <c r="D468" s="29">
        <v>2076691.87</v>
      </c>
      <c r="E468" s="29">
        <v>1372051.8</v>
      </c>
      <c r="F468" s="29">
        <v>-823414.8</v>
      </c>
      <c r="G468" s="30">
        <f t="shared" si="161"/>
        <v>137896393.74499908</v>
      </c>
      <c r="H468" s="26" t="s">
        <v>5090</v>
      </c>
    </row>
    <row r="469" spans="1:8">
      <c r="A469" s="27">
        <v>46004</v>
      </c>
      <c r="B469" s="28">
        <f t="shared" si="170"/>
        <v>137896393.74499908</v>
      </c>
      <c r="C469" s="29">
        <v>0</v>
      </c>
      <c r="D469" s="29">
        <v>0</v>
      </c>
      <c r="E469" s="29">
        <v>0</v>
      </c>
      <c r="F469" s="29">
        <v>0</v>
      </c>
      <c r="G469" s="30">
        <f t="shared" si="161"/>
        <v>137896393.74499908</v>
      </c>
    </row>
    <row r="470" spans="1:8">
      <c r="A470" s="27">
        <v>46005</v>
      </c>
      <c r="B470" s="28">
        <f t="shared" si="170"/>
        <v>137896393.74499908</v>
      </c>
      <c r="C470" s="29">
        <v>0</v>
      </c>
      <c r="D470" s="29">
        <v>0</v>
      </c>
      <c r="E470" s="29">
        <v>0</v>
      </c>
      <c r="F470" s="29">
        <v>0</v>
      </c>
      <c r="G470" s="30">
        <f t="shared" si="161"/>
        <v>137896393.74499908</v>
      </c>
    </row>
    <row r="471" spans="1:8">
      <c r="A471" s="27">
        <v>46006</v>
      </c>
      <c r="B471" s="28">
        <f t="shared" si="170"/>
        <v>137896393.74499908</v>
      </c>
      <c r="C471" s="29">
        <v>-1939722.38</v>
      </c>
      <c r="D471" s="29">
        <v>164644.49</v>
      </c>
      <c r="E471" s="29">
        <v>31773.86</v>
      </c>
      <c r="F471" s="29">
        <v>-602580.63</v>
      </c>
      <c r="G471" s="30">
        <f t="shared" si="161"/>
        <v>135550509.08499911</v>
      </c>
    </row>
    <row r="472" spans="1:8">
      <c r="A472" s="27">
        <v>46007</v>
      </c>
      <c r="B472" s="28">
        <f t="shared" ref="B472:B478" si="171">G471</f>
        <v>135550509.08499911</v>
      </c>
      <c r="C472" s="29">
        <v>-3472232.45</v>
      </c>
      <c r="D472" s="29">
        <v>1278226.78</v>
      </c>
      <c r="E472" s="29">
        <v>121051461.34999999</v>
      </c>
      <c r="F472" s="29">
        <v>-91197107.239999995</v>
      </c>
      <c r="G472" s="30">
        <f t="shared" si="161"/>
        <v>163210857.52499908</v>
      </c>
      <c r="H472" s="26" t="s">
        <v>5096</v>
      </c>
    </row>
    <row r="473" spans="1:8">
      <c r="A473" s="27">
        <v>46008</v>
      </c>
      <c r="B473" s="28">
        <f t="shared" si="171"/>
        <v>163210857.52499908</v>
      </c>
      <c r="C473" s="29">
        <v>-10481302.27</v>
      </c>
      <c r="D473" s="29">
        <v>8712388.4100000001</v>
      </c>
      <c r="E473" s="29">
        <v>16551483.65</v>
      </c>
      <c r="F473" s="29">
        <v>-904424.64</v>
      </c>
      <c r="G473" s="30">
        <f t="shared" si="161"/>
        <v>177089002.67499909</v>
      </c>
      <c r="H473" s="26" t="s">
        <v>5115</v>
      </c>
    </row>
    <row r="474" spans="1:8">
      <c r="A474" s="27">
        <v>46009</v>
      </c>
      <c r="B474" s="28">
        <f t="shared" si="171"/>
        <v>177089002.67499909</v>
      </c>
      <c r="C474" s="29">
        <v>-3675997.63</v>
      </c>
      <c r="D474" s="29">
        <v>3309113.93</v>
      </c>
      <c r="E474" s="29">
        <v>944026.01</v>
      </c>
      <c r="F474" s="29">
        <v>-307038.25</v>
      </c>
      <c r="G474" s="30">
        <f t="shared" si="161"/>
        <v>177359106.73499909</v>
      </c>
      <c r="H474" s="26" t="s">
        <v>5119</v>
      </c>
    </row>
    <row r="475" spans="1:8">
      <c r="A475" s="27">
        <v>46010</v>
      </c>
      <c r="B475" s="28">
        <f t="shared" si="171"/>
        <v>177359106.73499909</v>
      </c>
      <c r="C475" s="29">
        <v>-7709594.9800000004</v>
      </c>
      <c r="D475" s="29">
        <v>1435501.01</v>
      </c>
      <c r="E475" s="29">
        <v>5485716.2999999998</v>
      </c>
      <c r="F475" s="29">
        <v>-1280461.6199999999</v>
      </c>
      <c r="G475" s="30">
        <f t="shared" si="161"/>
        <v>175290267.4449991</v>
      </c>
      <c r="H475" s="26" t="s">
        <v>5123</v>
      </c>
    </row>
    <row r="476" spans="1:8">
      <c r="A476" s="27">
        <v>46011</v>
      </c>
      <c r="B476" s="28">
        <f t="shared" si="171"/>
        <v>175290267.4449991</v>
      </c>
      <c r="C476" s="29">
        <v>0</v>
      </c>
      <c r="D476" s="29">
        <v>0</v>
      </c>
      <c r="E476" s="29">
        <v>0</v>
      </c>
      <c r="F476" s="29">
        <v>0</v>
      </c>
      <c r="G476" s="30">
        <f t="shared" si="161"/>
        <v>175290267.4449991</v>
      </c>
    </row>
    <row r="477" spans="1:8">
      <c r="A477" s="27">
        <v>46012</v>
      </c>
      <c r="B477" s="28">
        <f t="shared" si="171"/>
        <v>175290267.4449991</v>
      </c>
      <c r="C477" s="29">
        <v>0</v>
      </c>
      <c r="D477" s="29">
        <v>0</v>
      </c>
      <c r="E477" s="29">
        <v>0</v>
      </c>
      <c r="F477" s="29">
        <v>0</v>
      </c>
      <c r="G477" s="30">
        <f t="shared" si="161"/>
        <v>175290267.4449991</v>
      </c>
    </row>
    <row r="478" spans="1:8">
      <c r="A478" s="27">
        <v>46013</v>
      </c>
      <c r="B478" s="28">
        <f t="shared" si="171"/>
        <v>175290267.4449991</v>
      </c>
      <c r="C478" s="29">
        <v>-2651122.4900000002</v>
      </c>
      <c r="D478" s="29">
        <v>3185028.66</v>
      </c>
      <c r="E478" s="29">
        <v>2086664.09</v>
      </c>
      <c r="F478" s="29">
        <v>-4166093.02</v>
      </c>
      <c r="G478" s="30">
        <f t="shared" si="161"/>
        <v>173744744.68499908</v>
      </c>
      <c r="H478" s="26" t="s">
        <v>5130</v>
      </c>
    </row>
    <row r="479" spans="1:8">
      <c r="A479" s="27">
        <v>46014</v>
      </c>
      <c r="B479" s="28">
        <f t="shared" ref="B479" si="172">G478</f>
        <v>173744744.68499908</v>
      </c>
      <c r="C479" s="29">
        <v>-8186272.5700000022</v>
      </c>
      <c r="D479" s="29">
        <v>2942851.4600000004</v>
      </c>
      <c r="E479" s="29">
        <v>540909.89999999979</v>
      </c>
      <c r="F479" s="29">
        <v>-764467.79</v>
      </c>
      <c r="G479" s="30">
        <f t="shared" si="161"/>
        <v>168277765.68499911</v>
      </c>
      <c r="H479" s="26" t="s">
        <v>5140</v>
      </c>
    </row>
    <row r="480" spans="1:8">
      <c r="A480" s="27">
        <v>46015</v>
      </c>
      <c r="B480" s="28">
        <f t="shared" ref="B480" si="173">G479</f>
        <v>168277765.68499911</v>
      </c>
      <c r="C480" s="29">
        <v>-6380932.2499999991</v>
      </c>
      <c r="D480" s="29">
        <v>6575389.129999999</v>
      </c>
      <c r="E480" s="29">
        <v>56997394.590000011</v>
      </c>
      <c r="F480" s="29">
        <v>-9501793.4499999993</v>
      </c>
      <c r="G480" s="30">
        <f t="shared" si="161"/>
        <v>215967823.70499912</v>
      </c>
      <c r="H480" s="26" t="s">
        <v>5143</v>
      </c>
    </row>
    <row r="481" spans="1:8">
      <c r="A481" s="27">
        <v>46016</v>
      </c>
      <c r="B481" s="28">
        <f t="shared" ref="B481:B487" si="174">G480</f>
        <v>215967823.70499912</v>
      </c>
      <c r="C481" s="29">
        <v>0</v>
      </c>
      <c r="D481" s="29">
        <v>0</v>
      </c>
      <c r="E481" s="29">
        <v>0</v>
      </c>
      <c r="F481" s="29">
        <v>0</v>
      </c>
      <c r="G481" s="30">
        <f t="shared" si="161"/>
        <v>215967823.70499912</v>
      </c>
    </row>
    <row r="482" spans="1:8" ht="12" customHeight="1">
      <c r="A482" s="27">
        <v>46017</v>
      </c>
      <c r="B482" s="28">
        <f t="shared" si="174"/>
        <v>215967823.70499912</v>
      </c>
      <c r="C482" s="29">
        <v>0</v>
      </c>
      <c r="D482" s="29">
        <v>0</v>
      </c>
      <c r="E482" s="29">
        <v>0</v>
      </c>
      <c r="F482" s="29">
        <v>0</v>
      </c>
      <c r="G482" s="30">
        <f t="shared" si="161"/>
        <v>215967823.70499912</v>
      </c>
    </row>
    <row r="483" spans="1:8">
      <c r="A483" s="27">
        <v>46018</v>
      </c>
      <c r="B483" s="28">
        <f t="shared" si="174"/>
        <v>215967823.70499912</v>
      </c>
      <c r="C483" s="29">
        <v>0</v>
      </c>
      <c r="D483" s="29">
        <v>0</v>
      </c>
      <c r="E483" s="29">
        <v>0</v>
      </c>
      <c r="F483" s="29">
        <v>0</v>
      </c>
      <c r="G483" s="30">
        <f t="shared" si="161"/>
        <v>215967823.70499912</v>
      </c>
    </row>
    <row r="484" spans="1:8">
      <c r="A484" s="27">
        <v>46019</v>
      </c>
      <c r="B484" s="28">
        <f t="shared" si="174"/>
        <v>215967823.70499912</v>
      </c>
      <c r="C484" s="29">
        <v>0</v>
      </c>
      <c r="D484" s="29">
        <v>0</v>
      </c>
      <c r="E484" s="29">
        <v>0</v>
      </c>
      <c r="F484" s="29">
        <v>0</v>
      </c>
      <c r="G484" s="30">
        <f t="shared" si="161"/>
        <v>215967823.70499912</v>
      </c>
    </row>
    <row r="485" spans="1:8">
      <c r="A485" s="27">
        <v>46020</v>
      </c>
      <c r="B485" s="28">
        <f t="shared" si="174"/>
        <v>215967823.70499912</v>
      </c>
      <c r="C485" s="29">
        <v>-3114518.81</v>
      </c>
      <c r="D485" s="29">
        <v>2636479.83</v>
      </c>
      <c r="E485" s="29">
        <v>13782128.48</v>
      </c>
      <c r="F485" s="29">
        <v>-767354.67</v>
      </c>
      <c r="G485" s="30">
        <f t="shared" si="161"/>
        <v>228504558.53499913</v>
      </c>
      <c r="H485" s="26" t="s">
        <v>5167</v>
      </c>
    </row>
    <row r="486" spans="1:8">
      <c r="A486" s="27">
        <v>46021</v>
      </c>
      <c r="B486" s="28">
        <f t="shared" si="174"/>
        <v>228504558.53499913</v>
      </c>
      <c r="C486" s="29">
        <v>-9635401.8800000008</v>
      </c>
      <c r="D486" s="29">
        <v>26020498.02</v>
      </c>
      <c r="E486" s="29">
        <v>2950679.82</v>
      </c>
      <c r="F486" s="29">
        <v>-17702371.289999999</v>
      </c>
      <c r="G486" s="30">
        <f t="shared" si="161"/>
        <v>230137963.20499915</v>
      </c>
      <c r="H486" s="26" t="s">
        <v>5176</v>
      </c>
    </row>
    <row r="487" spans="1:8">
      <c r="A487" s="27">
        <v>46022</v>
      </c>
      <c r="B487" s="28">
        <f t="shared" si="174"/>
        <v>230137963.20499915</v>
      </c>
      <c r="C487" s="29">
        <v>-3782686.12</v>
      </c>
      <c r="D487" s="29">
        <v>3790843.06</v>
      </c>
      <c r="E487" s="29">
        <v>46957958.060000002</v>
      </c>
      <c r="F487" s="29">
        <v>-79604821.579999998</v>
      </c>
      <c r="G487" s="30">
        <f t="shared" si="161"/>
        <v>197499256.62499917</v>
      </c>
      <c r="H487" s="26" t="s">
        <v>5203</v>
      </c>
    </row>
    <row r="488" spans="1:8">
      <c r="A488" s="27">
        <v>46023</v>
      </c>
      <c r="B488" s="28">
        <f t="shared" ref="B488:B492" si="175">G487</f>
        <v>197499256.62499917</v>
      </c>
      <c r="C488" s="29">
        <v>0</v>
      </c>
      <c r="D488" s="29">
        <v>0</v>
      </c>
      <c r="E488" s="29">
        <v>0</v>
      </c>
      <c r="F488" s="29">
        <v>0</v>
      </c>
      <c r="G488" s="30">
        <f t="shared" si="161"/>
        <v>197499256.62499917</v>
      </c>
    </row>
    <row r="489" spans="1:8">
      <c r="A489" s="27">
        <v>46024</v>
      </c>
      <c r="B489" s="28">
        <f t="shared" si="175"/>
        <v>197499256.62499917</v>
      </c>
      <c r="C489" s="29">
        <v>0</v>
      </c>
      <c r="D489" s="29">
        <v>0</v>
      </c>
      <c r="E489" s="29">
        <v>0</v>
      </c>
      <c r="F489" s="29">
        <v>0</v>
      </c>
      <c r="G489" s="30">
        <f t="shared" si="161"/>
        <v>197499256.62499917</v>
      </c>
    </row>
    <row r="490" spans="1:8">
      <c r="A490" s="27">
        <v>46025</v>
      </c>
      <c r="B490" s="28">
        <f t="shared" si="175"/>
        <v>197499256.62499917</v>
      </c>
      <c r="C490" s="29">
        <v>0</v>
      </c>
      <c r="D490" s="29">
        <v>0</v>
      </c>
      <c r="E490" s="29">
        <v>0</v>
      </c>
      <c r="F490" s="29">
        <v>0</v>
      </c>
      <c r="G490" s="30">
        <f t="shared" si="161"/>
        <v>197499256.62499917</v>
      </c>
    </row>
    <row r="491" spans="1:8">
      <c r="A491" s="27">
        <v>46026</v>
      </c>
      <c r="B491" s="28">
        <f t="shared" si="175"/>
        <v>197499256.62499917</v>
      </c>
      <c r="C491" s="29">
        <v>0</v>
      </c>
      <c r="D491" s="29">
        <v>0</v>
      </c>
      <c r="E491" s="29">
        <v>0</v>
      </c>
      <c r="F491" s="29">
        <v>0</v>
      </c>
      <c r="G491" s="30">
        <f t="shared" si="161"/>
        <v>197499256.62499917</v>
      </c>
    </row>
    <row r="492" spans="1:8">
      <c r="A492" s="27">
        <v>46027</v>
      </c>
      <c r="B492" s="28">
        <f t="shared" si="175"/>
        <v>197499256.62499917</v>
      </c>
      <c r="C492" s="29">
        <v>-2808169.3299999991</v>
      </c>
      <c r="D492" s="29">
        <v>39184586.700000003</v>
      </c>
      <c r="E492" s="29">
        <v>158041427.22</v>
      </c>
      <c r="F492" s="29">
        <v>-92546.01999999999</v>
      </c>
      <c r="G492" s="30">
        <f t="shared" si="161"/>
        <v>391824555.19499922</v>
      </c>
      <c r="H492" s="26" t="s">
        <v>5227</v>
      </c>
    </row>
    <row r="493" spans="1:8">
      <c r="A493" s="27">
        <v>46028</v>
      </c>
      <c r="B493" s="28">
        <f t="shared" ref="B493" si="176">G492</f>
        <v>391824555.19499922</v>
      </c>
      <c r="C493" s="29">
        <v>-1888845.5300000007</v>
      </c>
      <c r="D493" s="29">
        <v>1871605.08</v>
      </c>
      <c r="E493" s="29">
        <v>1111187.92</v>
      </c>
      <c r="F493" s="29">
        <v>-46045396.450000003</v>
      </c>
      <c r="G493" s="30">
        <f t="shared" si="161"/>
        <v>346873106.21499926</v>
      </c>
      <c r="H493" s="26" t="s">
        <v>5240</v>
      </c>
    </row>
    <row r="494" spans="1:8">
      <c r="A494" s="27">
        <v>46029</v>
      </c>
      <c r="B494" s="28">
        <f t="shared" ref="B494" si="177">G493</f>
        <v>346873106.21499926</v>
      </c>
      <c r="C494" s="29">
        <v>-2880243.9899999998</v>
      </c>
      <c r="D494" s="29">
        <v>2239632.4900000002</v>
      </c>
      <c r="E494" s="29">
        <v>1247911.95</v>
      </c>
      <c r="F494" s="29">
        <v>-1702.84</v>
      </c>
      <c r="G494" s="30">
        <f t="shared" si="161"/>
        <v>347478703.82499927</v>
      </c>
      <c r="H494" s="26" t="s">
        <v>5248</v>
      </c>
    </row>
    <row r="495" spans="1:8">
      <c r="A495" s="27">
        <v>46030</v>
      </c>
      <c r="B495" s="28">
        <f t="shared" ref="B495:B502" si="178">G494</f>
        <v>347478703.82499927</v>
      </c>
      <c r="C495" s="29">
        <v>-6511946.5099999951</v>
      </c>
      <c r="D495" s="29">
        <v>1567685.76</v>
      </c>
      <c r="E495" s="29">
        <v>9733941.0999999996</v>
      </c>
      <c r="F495" s="29">
        <v>-12436436.33</v>
      </c>
      <c r="G495" s="30">
        <f t="shared" si="161"/>
        <v>339831947.84499931</v>
      </c>
      <c r="H495" s="26" t="s">
        <v>5251</v>
      </c>
    </row>
    <row r="496" spans="1:8">
      <c r="A496" s="27">
        <v>46031</v>
      </c>
      <c r="B496" s="28">
        <f t="shared" si="178"/>
        <v>339831947.84499931</v>
      </c>
      <c r="C496" s="29">
        <v>-7132336.1399999997</v>
      </c>
      <c r="D496" s="29">
        <v>10377585.109999999</v>
      </c>
      <c r="E496" s="29">
        <v>218658.33</v>
      </c>
      <c r="F496" s="29">
        <v>-89503157.939999998</v>
      </c>
      <c r="G496" s="30">
        <f t="shared" si="161"/>
        <v>253792697.20499933</v>
      </c>
      <c r="H496" s="26" t="s">
        <v>5262</v>
      </c>
    </row>
    <row r="497" spans="1:8">
      <c r="A497" s="27">
        <v>46032</v>
      </c>
      <c r="B497" s="28">
        <f t="shared" si="178"/>
        <v>253792697.20499933</v>
      </c>
      <c r="C497" s="29">
        <v>0</v>
      </c>
      <c r="D497" s="29">
        <v>0</v>
      </c>
      <c r="E497" s="29">
        <v>0</v>
      </c>
      <c r="F497" s="29">
        <v>0</v>
      </c>
      <c r="G497" s="30">
        <f t="shared" si="161"/>
        <v>253792697.20499933</v>
      </c>
    </row>
    <row r="498" spans="1:8">
      <c r="A498" s="27">
        <v>46033</v>
      </c>
      <c r="B498" s="28">
        <f t="shared" si="178"/>
        <v>253792697.20499933</v>
      </c>
      <c r="C498" s="29">
        <v>0</v>
      </c>
      <c r="D498" s="29">
        <v>0</v>
      </c>
      <c r="E498" s="29">
        <v>0</v>
      </c>
      <c r="F498" s="29">
        <v>0</v>
      </c>
      <c r="G498" s="30">
        <f t="shared" si="161"/>
        <v>253792697.20499933</v>
      </c>
    </row>
    <row r="499" spans="1:8">
      <c r="A499" s="27">
        <v>46034</v>
      </c>
      <c r="B499" s="28">
        <f t="shared" si="178"/>
        <v>253792697.20499933</v>
      </c>
      <c r="C499" s="29">
        <v>-5438811.3700000001</v>
      </c>
      <c r="D499" s="29">
        <v>579013.86</v>
      </c>
      <c r="E499" s="29">
        <v>60</v>
      </c>
      <c r="F499" s="29">
        <v>0</v>
      </c>
      <c r="G499" s="30">
        <f t="shared" si="161"/>
        <v>248932959.69499934</v>
      </c>
      <c r="H499" s="26" t="s">
        <v>5275</v>
      </c>
    </row>
    <row r="500" spans="1:8">
      <c r="A500" s="27">
        <v>46035</v>
      </c>
      <c r="B500" s="28">
        <f t="shared" si="178"/>
        <v>248932959.69499934</v>
      </c>
      <c r="C500" s="29">
        <v>-75243357.010000005</v>
      </c>
      <c r="D500" s="29">
        <v>355235.7</v>
      </c>
      <c r="E500" s="29">
        <v>362.17</v>
      </c>
      <c r="F500" s="29">
        <v>-821.13</v>
      </c>
      <c r="G500" s="30">
        <f t="shared" si="161"/>
        <v>174044379.42499933</v>
      </c>
      <c r="H500" s="26" t="s">
        <v>5280</v>
      </c>
    </row>
    <row r="501" spans="1:8">
      <c r="A501" s="27">
        <v>46036</v>
      </c>
      <c r="B501" s="28">
        <f t="shared" si="178"/>
        <v>174044379.42499933</v>
      </c>
      <c r="C501" s="29">
        <v>-3214567.02</v>
      </c>
      <c r="D501" s="29">
        <v>8968468.4299999997</v>
      </c>
      <c r="E501" s="29">
        <v>1261089.25</v>
      </c>
      <c r="F501" s="29">
        <v>-4713.34</v>
      </c>
      <c r="G501" s="30">
        <f t="shared" si="161"/>
        <v>181054656.74499932</v>
      </c>
      <c r="H501" s="26" t="s">
        <v>5284</v>
      </c>
    </row>
    <row r="502" spans="1:8">
      <c r="A502" s="27">
        <v>46037</v>
      </c>
      <c r="B502" s="28">
        <f t="shared" si="178"/>
        <v>181054656.74499932</v>
      </c>
      <c r="C502" s="29">
        <v>-7032404.7599999998</v>
      </c>
      <c r="D502" s="29">
        <v>4879114.99</v>
      </c>
      <c r="E502" s="29">
        <v>7088372.3799999999</v>
      </c>
      <c r="F502" s="29">
        <v>-601761.88</v>
      </c>
      <c r="G502" s="30">
        <f t="shared" si="161"/>
        <v>185387977.47499934</v>
      </c>
      <c r="H502" s="26" t="s">
        <v>5294</v>
      </c>
    </row>
    <row r="503" spans="1:8">
      <c r="A503" s="27">
        <v>46038</v>
      </c>
      <c r="B503" s="28">
        <f t="shared" ref="B503" si="179">G502</f>
        <v>185387977.47499934</v>
      </c>
      <c r="C503" s="29">
        <v>-19319676.539999999</v>
      </c>
      <c r="D503" s="29">
        <v>236182475.82999998</v>
      </c>
      <c r="E503" s="29">
        <v>16105290.689999998</v>
      </c>
      <c r="F503" s="29">
        <v>-26450438.190000001</v>
      </c>
      <c r="G503" s="30">
        <f t="shared" si="161"/>
        <v>391905629.26499933</v>
      </c>
      <c r="H503" s="26" t="s">
        <v>5306</v>
      </c>
    </row>
    <row r="504" spans="1:8">
      <c r="A504" s="27">
        <v>46039</v>
      </c>
      <c r="B504" s="28">
        <f t="shared" ref="B504:B507" si="180">G503</f>
        <v>391905629.26499933</v>
      </c>
      <c r="C504" s="29">
        <v>0</v>
      </c>
      <c r="D504" s="29">
        <v>0</v>
      </c>
      <c r="E504" s="29">
        <v>0</v>
      </c>
      <c r="F504" s="29">
        <v>0</v>
      </c>
      <c r="G504" s="30">
        <f t="shared" si="161"/>
        <v>391905629.26499933</v>
      </c>
    </row>
    <row r="505" spans="1:8">
      <c r="A505" s="27">
        <v>46040</v>
      </c>
      <c r="B505" s="28">
        <f t="shared" si="180"/>
        <v>391905629.26499933</v>
      </c>
      <c r="C505" s="29">
        <v>0</v>
      </c>
      <c r="D505" s="29">
        <v>0</v>
      </c>
      <c r="E505" s="29">
        <v>0</v>
      </c>
      <c r="F505" s="29">
        <v>0</v>
      </c>
      <c r="G505" s="30">
        <f t="shared" si="161"/>
        <v>391905629.26499933</v>
      </c>
    </row>
    <row r="506" spans="1:8">
      <c r="A506" s="27">
        <v>46041</v>
      </c>
      <c r="B506" s="28">
        <f t="shared" si="180"/>
        <v>391905629.26499933</v>
      </c>
      <c r="C506" s="29">
        <v>0</v>
      </c>
      <c r="D506" s="29">
        <v>0</v>
      </c>
      <c r="E506" s="29">
        <v>0</v>
      </c>
      <c r="F506" s="29">
        <v>0</v>
      </c>
      <c r="G506" s="30">
        <f t="shared" si="161"/>
        <v>391905629.26499933</v>
      </c>
    </row>
    <row r="507" spans="1:8">
      <c r="A507" s="27">
        <v>46042</v>
      </c>
      <c r="B507" s="28">
        <f t="shared" si="180"/>
        <v>391905629.26499933</v>
      </c>
      <c r="C507" s="29">
        <v>-4408889.58</v>
      </c>
      <c r="D507" s="29">
        <v>755173.86</v>
      </c>
      <c r="E507" s="29">
        <v>600</v>
      </c>
      <c r="F507" s="29">
        <v>-14326.08</v>
      </c>
      <c r="G507" s="30">
        <f t="shared" si="161"/>
        <v>388238187.46499938</v>
      </c>
    </row>
    <row r="508" spans="1:8">
      <c r="A508" s="27">
        <v>46043</v>
      </c>
      <c r="B508" s="28">
        <f t="shared" ref="B508" si="181">G507</f>
        <v>388238187.46499938</v>
      </c>
      <c r="C508" s="29">
        <v>-3667100.9499999997</v>
      </c>
      <c r="D508" s="29">
        <v>3796425.0300000003</v>
      </c>
      <c r="E508" s="29">
        <v>7763273.46</v>
      </c>
      <c r="F508" s="29">
        <v>-194726.01</v>
      </c>
      <c r="G508" s="30">
        <f t="shared" si="161"/>
        <v>395936058.99499935</v>
      </c>
      <c r="H508" s="26" t="s">
        <v>5345</v>
      </c>
    </row>
    <row r="509" spans="1:8">
      <c r="A509" s="27">
        <v>46044</v>
      </c>
      <c r="B509" s="28">
        <f t="shared" ref="B509:B516" si="182">G508</f>
        <v>395936058.99499935</v>
      </c>
      <c r="C509" s="29">
        <v>-5089413.5900000008</v>
      </c>
      <c r="D509" s="29">
        <v>713449.6399999999</v>
      </c>
      <c r="E509" s="29">
        <v>2774053.560000001</v>
      </c>
      <c r="F509" s="29">
        <v>-7335851.5600000005</v>
      </c>
      <c r="G509" s="30">
        <f t="shared" si="161"/>
        <v>386998297.04499936</v>
      </c>
      <c r="H509" s="26" t="s">
        <v>5357</v>
      </c>
    </row>
    <row r="510" spans="1:8">
      <c r="A510" s="27">
        <v>46045</v>
      </c>
      <c r="B510" s="28">
        <f t="shared" si="182"/>
        <v>386998297.04499936</v>
      </c>
      <c r="C510" s="29">
        <v>-12825060.02</v>
      </c>
      <c r="D510" s="29">
        <v>3918960.7</v>
      </c>
      <c r="E510" s="29">
        <v>189937.3</v>
      </c>
      <c r="F510" s="29">
        <v>-7332535.1900000004</v>
      </c>
      <c r="G510" s="30">
        <f t="shared" si="161"/>
        <v>370949599.83499938</v>
      </c>
      <c r="H510" s="26" t="s">
        <v>5371</v>
      </c>
    </row>
    <row r="511" spans="1:8">
      <c r="A511" s="27">
        <v>46046</v>
      </c>
      <c r="B511" s="28">
        <f t="shared" si="182"/>
        <v>370949599.83499938</v>
      </c>
      <c r="C511" s="29">
        <v>0</v>
      </c>
      <c r="D511" s="29">
        <v>0</v>
      </c>
      <c r="E511" s="29">
        <v>0</v>
      </c>
      <c r="F511" s="29">
        <v>0</v>
      </c>
      <c r="G511" s="30">
        <f t="shared" si="161"/>
        <v>370949599.83499938</v>
      </c>
    </row>
    <row r="512" spans="1:8">
      <c r="A512" s="27">
        <v>46047</v>
      </c>
      <c r="B512" s="28">
        <f t="shared" si="182"/>
        <v>370949599.83499938</v>
      </c>
      <c r="C512" s="29">
        <v>0</v>
      </c>
      <c r="D512" s="29">
        <v>0</v>
      </c>
      <c r="E512" s="29">
        <v>0</v>
      </c>
      <c r="F512" s="29">
        <v>0</v>
      </c>
      <c r="G512" s="30">
        <f t="shared" si="161"/>
        <v>370949599.83499938</v>
      </c>
    </row>
    <row r="513" spans="1:8">
      <c r="A513" s="27">
        <v>46048</v>
      </c>
      <c r="B513" s="28">
        <f t="shared" si="182"/>
        <v>370949599.83499938</v>
      </c>
      <c r="C513" s="29">
        <v>-2766421.37</v>
      </c>
      <c r="D513" s="29">
        <v>434218.59</v>
      </c>
      <c r="E513" s="29">
        <v>1494467.14</v>
      </c>
      <c r="F513" s="29">
        <v>-96671.24</v>
      </c>
      <c r="G513" s="30">
        <f t="shared" si="161"/>
        <v>370015192.95499933</v>
      </c>
      <c r="H513" s="26" t="s">
        <v>5384</v>
      </c>
    </row>
    <row r="514" spans="1:8">
      <c r="A514" s="27">
        <v>46049</v>
      </c>
      <c r="B514" s="28">
        <f t="shared" si="182"/>
        <v>370015192.95499933</v>
      </c>
      <c r="C514" s="29">
        <v>-1710422.21</v>
      </c>
      <c r="D514" s="29">
        <v>8156016.1799999997</v>
      </c>
      <c r="E514" s="29">
        <v>614004.64</v>
      </c>
      <c r="F514" s="29">
        <v>-4018579.22</v>
      </c>
      <c r="G514" s="30">
        <f t="shared" si="161"/>
        <v>373056212.34499931</v>
      </c>
      <c r="H514" s="26" t="s">
        <v>5390</v>
      </c>
    </row>
    <row r="515" spans="1:8">
      <c r="A515" s="27">
        <v>46050</v>
      </c>
      <c r="B515" s="28">
        <f t="shared" si="182"/>
        <v>373056212.34499931</v>
      </c>
      <c r="C515" s="29">
        <v>-4515152.09</v>
      </c>
      <c r="D515" s="29">
        <v>8200220.9800000004</v>
      </c>
      <c r="E515" s="29">
        <v>118767789.73999999</v>
      </c>
      <c r="F515" s="29">
        <v>-110576372.05</v>
      </c>
      <c r="G515" s="30">
        <f t="shared" si="161"/>
        <v>384932698.92499936</v>
      </c>
      <c r="H515" s="26" t="s">
        <v>5397</v>
      </c>
    </row>
    <row r="516" spans="1:8">
      <c r="A516" s="27">
        <v>46051</v>
      </c>
      <c r="B516" s="28">
        <f t="shared" si="182"/>
        <v>384932698.92499936</v>
      </c>
      <c r="C516" s="29">
        <v>-5188281.6100000003</v>
      </c>
      <c r="D516" s="29">
        <v>10143717.189999999</v>
      </c>
      <c r="E516" s="29">
        <v>67235338.900000006</v>
      </c>
      <c r="F516" s="29">
        <v>-2485326.98</v>
      </c>
      <c r="G516" s="30">
        <f t="shared" si="161"/>
        <v>454638146.42499936</v>
      </c>
      <c r="H516" s="26" t="s">
        <v>5435</v>
      </c>
    </row>
    <row r="517" spans="1:8">
      <c r="A517" s="27">
        <v>46052</v>
      </c>
      <c r="B517" s="28">
        <f t="shared" ref="B517" si="183">G516</f>
        <v>454638146.42499936</v>
      </c>
      <c r="C517" s="29">
        <v>-1411798.6899999997</v>
      </c>
      <c r="D517" s="29">
        <v>13339216.25</v>
      </c>
      <c r="E517" s="29">
        <v>1370719.4100000006</v>
      </c>
      <c r="F517" s="29">
        <v>-253680.87000000002</v>
      </c>
      <c r="G517" s="30">
        <f t="shared" si="161"/>
        <v>467682602.52499938</v>
      </c>
      <c r="H517" s="26" t="s">
        <v>5467</v>
      </c>
    </row>
    <row r="518" spans="1:8">
      <c r="A518" s="27">
        <v>46053</v>
      </c>
      <c r="B518" s="28">
        <f t="shared" ref="B518:B520" si="184">G517</f>
        <v>467682602.52499938</v>
      </c>
      <c r="C518" s="29">
        <v>0</v>
      </c>
      <c r="D518" s="29">
        <v>0</v>
      </c>
      <c r="E518" s="29">
        <v>0</v>
      </c>
      <c r="F518" s="29">
        <v>0</v>
      </c>
      <c r="G518" s="30">
        <f t="shared" si="161"/>
        <v>467682602.52499938</v>
      </c>
    </row>
    <row r="519" spans="1:8">
      <c r="A519" s="27">
        <v>46054</v>
      </c>
      <c r="B519" s="28">
        <f t="shared" si="184"/>
        <v>467682602.52499938</v>
      </c>
      <c r="C519" s="29">
        <v>0</v>
      </c>
      <c r="D519" s="29">
        <v>0</v>
      </c>
      <c r="E519" s="29">
        <v>0</v>
      </c>
      <c r="F519" s="29">
        <v>0</v>
      </c>
      <c r="G519" s="30">
        <f t="shared" ref="G519:G588" si="185">SUM(B519:F519)</f>
        <v>467682602.52499938</v>
      </c>
    </row>
    <row r="520" spans="1:8">
      <c r="A520" s="27">
        <v>46055</v>
      </c>
      <c r="B520" s="28">
        <f t="shared" si="184"/>
        <v>467682602.52499938</v>
      </c>
      <c r="C520" s="29">
        <v>-2990499.4500000007</v>
      </c>
      <c r="D520" s="29">
        <v>-280905234.13000005</v>
      </c>
      <c r="E520" s="29">
        <v>83784.539999999994</v>
      </c>
      <c r="F520" s="29">
        <v>-27540.65</v>
      </c>
      <c r="G520" s="30">
        <f t="shared" si="185"/>
        <v>183843112.83499932</v>
      </c>
      <c r="H520" s="26" t="s">
        <v>5475</v>
      </c>
    </row>
    <row r="521" spans="1:8">
      <c r="A521" s="27">
        <v>46056</v>
      </c>
      <c r="B521" s="28">
        <f t="shared" ref="B521" si="186">G520</f>
        <v>183843112.83499932</v>
      </c>
      <c r="C521" s="29">
        <v>-2383639.7699999996</v>
      </c>
      <c r="D521" s="29">
        <v>36235710.890000001</v>
      </c>
      <c r="E521" s="29">
        <v>83008351.859999999</v>
      </c>
      <c r="F521" s="29">
        <v>-1434198.43</v>
      </c>
      <c r="G521" s="30">
        <f t="shared" si="185"/>
        <v>299269337.38499933</v>
      </c>
      <c r="H521" s="26" t="s">
        <v>5483</v>
      </c>
    </row>
    <row r="522" spans="1:8">
      <c r="A522" s="27">
        <v>46057</v>
      </c>
      <c r="B522" s="28">
        <f t="shared" ref="B522" si="187">G521</f>
        <v>299269337.38499933</v>
      </c>
      <c r="C522" s="29">
        <v>-4276239.040000001</v>
      </c>
      <c r="D522" s="29">
        <v>189179.87999999998</v>
      </c>
      <c r="E522" s="29">
        <v>32636510.960000001</v>
      </c>
      <c r="F522" s="29">
        <v>-1027524.31</v>
      </c>
      <c r="G522" s="30">
        <f t="shared" si="185"/>
        <v>326791264.87499928</v>
      </c>
      <c r="H522" s="26" t="s">
        <v>5502</v>
      </c>
    </row>
    <row r="523" spans="1:8">
      <c r="A523" s="27">
        <v>46058</v>
      </c>
      <c r="B523" s="28">
        <f t="shared" ref="B523:B529" si="188">G522</f>
        <v>326791264.87499928</v>
      </c>
      <c r="C523" s="29">
        <v>-4398740.370000001</v>
      </c>
      <c r="D523" s="29">
        <v>364725.35</v>
      </c>
      <c r="E523" s="29">
        <v>5094497.2200000016</v>
      </c>
      <c r="F523" s="29">
        <v>-597635.72</v>
      </c>
      <c r="G523" s="30">
        <f t="shared" si="185"/>
        <v>327254111.3549993</v>
      </c>
      <c r="H523" s="26" t="s">
        <v>5517</v>
      </c>
    </row>
    <row r="524" spans="1:8">
      <c r="A524" s="27">
        <v>46059</v>
      </c>
      <c r="B524" s="28">
        <f t="shared" si="188"/>
        <v>327254111.3549993</v>
      </c>
      <c r="C524" s="29">
        <v>-2054559.43</v>
      </c>
      <c r="D524" s="29">
        <v>2736441.75</v>
      </c>
      <c r="E524" s="29">
        <v>17175222.09</v>
      </c>
      <c r="F524" s="29">
        <v>-104360587.68000001</v>
      </c>
      <c r="G524" s="30">
        <f t="shared" si="185"/>
        <v>240750628.08499926</v>
      </c>
      <c r="H524" s="26" t="s">
        <v>5526</v>
      </c>
    </row>
    <row r="525" spans="1:8">
      <c r="A525" s="27">
        <v>46060</v>
      </c>
      <c r="B525" s="28">
        <f t="shared" si="188"/>
        <v>240750628.08499926</v>
      </c>
      <c r="C525" s="29">
        <v>0</v>
      </c>
      <c r="D525" s="29">
        <v>0</v>
      </c>
      <c r="E525" s="29">
        <v>0</v>
      </c>
      <c r="F525" s="29">
        <v>0</v>
      </c>
      <c r="G525" s="30">
        <f t="shared" si="185"/>
        <v>240750628.08499926</v>
      </c>
    </row>
    <row r="526" spans="1:8">
      <c r="A526" s="27">
        <v>46061</v>
      </c>
      <c r="B526" s="28">
        <f t="shared" si="188"/>
        <v>240750628.08499926</v>
      </c>
      <c r="C526" s="29">
        <v>0</v>
      </c>
      <c r="D526" s="29">
        <v>0</v>
      </c>
      <c r="E526" s="29">
        <v>0</v>
      </c>
      <c r="F526" s="29">
        <v>0</v>
      </c>
      <c r="G526" s="30">
        <f t="shared" si="185"/>
        <v>240750628.08499926</v>
      </c>
    </row>
    <row r="527" spans="1:8">
      <c r="A527" s="27">
        <v>46062</v>
      </c>
      <c r="B527" s="28">
        <f t="shared" si="188"/>
        <v>240750628.08499926</v>
      </c>
      <c r="C527" s="29">
        <v>-1982329.49</v>
      </c>
      <c r="D527" s="29">
        <v>87853.21</v>
      </c>
      <c r="E527" s="29">
        <v>0</v>
      </c>
      <c r="F527" s="29">
        <v>0</v>
      </c>
      <c r="G527" s="30">
        <f t="shared" si="185"/>
        <v>238856151.80499926</v>
      </c>
    </row>
    <row r="528" spans="1:8">
      <c r="A528" s="27">
        <v>46063</v>
      </c>
      <c r="B528" s="28">
        <f t="shared" si="188"/>
        <v>238856151.80499926</v>
      </c>
      <c r="C528" s="29">
        <v>-1508995.37</v>
      </c>
      <c r="D528" s="29">
        <v>1947914.32</v>
      </c>
      <c r="E528" s="29">
        <v>-5135362.4200000009</v>
      </c>
      <c r="F528" s="29">
        <v>21148484.379999999</v>
      </c>
      <c r="G528" s="30">
        <f t="shared" si="185"/>
        <v>255308192.71499926</v>
      </c>
      <c r="H528" s="26" t="s">
        <v>5535</v>
      </c>
    </row>
    <row r="529" spans="1:8">
      <c r="A529" s="27">
        <v>46064</v>
      </c>
      <c r="B529" s="28">
        <f t="shared" si="188"/>
        <v>255308192.71499926</v>
      </c>
      <c r="C529" s="29">
        <v>-5327725.58</v>
      </c>
      <c r="D529" s="29">
        <v>9204241.2400000002</v>
      </c>
      <c r="E529" s="29">
        <v>555398.52</v>
      </c>
      <c r="F529" s="29">
        <v>-1217486.06</v>
      </c>
      <c r="G529" s="30">
        <f t="shared" si="185"/>
        <v>258522620.83499926</v>
      </c>
      <c r="H529" s="26" t="s">
        <v>5547</v>
      </c>
    </row>
    <row r="530" spans="1:8">
      <c r="A530" s="27">
        <v>46065</v>
      </c>
      <c r="B530" s="28">
        <f t="shared" ref="B530:B531" si="189">G529</f>
        <v>258522620.83499926</v>
      </c>
      <c r="C530" s="29">
        <v>0</v>
      </c>
      <c r="D530" s="29">
        <v>0</v>
      </c>
      <c r="E530" s="29">
        <v>0</v>
      </c>
      <c r="F530" s="29">
        <v>0</v>
      </c>
      <c r="G530" s="30">
        <f t="shared" si="185"/>
        <v>258522620.83499926</v>
      </c>
    </row>
    <row r="531" spans="1:8">
      <c r="A531" s="27">
        <v>46066</v>
      </c>
      <c r="B531" s="28">
        <f t="shared" si="189"/>
        <v>258522620.83499926</v>
      </c>
      <c r="C531" s="29">
        <v>-8147659.3099999987</v>
      </c>
      <c r="D531" s="29">
        <v>3459926.5</v>
      </c>
      <c r="E531" s="29">
        <v>27521516.919999994</v>
      </c>
      <c r="F531" s="29">
        <v>-1941769.72</v>
      </c>
      <c r="G531" s="30">
        <f t="shared" si="185"/>
        <v>279414635.22499925</v>
      </c>
      <c r="H531" s="26" t="s">
        <v>5556</v>
      </c>
    </row>
    <row r="532" spans="1:8">
      <c r="A532" s="27">
        <v>46067</v>
      </c>
      <c r="B532" s="28">
        <f t="shared" ref="B532:B535" si="190">G531</f>
        <v>279414635.22499925</v>
      </c>
      <c r="C532" s="29">
        <v>0</v>
      </c>
      <c r="D532" s="29">
        <v>0</v>
      </c>
      <c r="E532" s="29">
        <v>0</v>
      </c>
      <c r="F532" s="29">
        <v>0</v>
      </c>
      <c r="G532" s="30">
        <f t="shared" si="185"/>
        <v>279414635.22499925</v>
      </c>
    </row>
    <row r="533" spans="1:8">
      <c r="A533" s="27">
        <v>46068</v>
      </c>
      <c r="B533" s="28">
        <f t="shared" si="190"/>
        <v>279414635.22499925</v>
      </c>
      <c r="C533" s="29">
        <v>0</v>
      </c>
      <c r="D533" s="29">
        <v>0</v>
      </c>
      <c r="E533" s="29">
        <v>0</v>
      </c>
      <c r="F533" s="29">
        <v>0</v>
      </c>
      <c r="G533" s="30">
        <f t="shared" si="185"/>
        <v>279414635.22499925</v>
      </c>
    </row>
    <row r="534" spans="1:8">
      <c r="A534" s="27">
        <v>46069</v>
      </c>
      <c r="B534" s="28">
        <f t="shared" si="190"/>
        <v>279414635.22499925</v>
      </c>
      <c r="C534" s="29">
        <v>0</v>
      </c>
      <c r="D534" s="29">
        <v>0</v>
      </c>
      <c r="E534" s="29">
        <v>0</v>
      </c>
      <c r="F534" s="29">
        <v>0</v>
      </c>
      <c r="G534" s="30">
        <f t="shared" si="185"/>
        <v>279414635.22499925</v>
      </c>
    </row>
    <row r="535" spans="1:8">
      <c r="A535" s="27">
        <v>46070</v>
      </c>
      <c r="B535" s="28">
        <f t="shared" si="190"/>
        <v>279414635.22499925</v>
      </c>
      <c r="C535" s="29">
        <v>-1790580.9000000004</v>
      </c>
      <c r="D535" s="29">
        <v>11107952.129999999</v>
      </c>
      <c r="E535" s="29">
        <v>7923759.5199999996</v>
      </c>
      <c r="F535" s="29">
        <v>-14239888.449999999</v>
      </c>
      <c r="G535" s="30">
        <f t="shared" si="185"/>
        <v>282415877.52499926</v>
      </c>
      <c r="H535" s="26" t="s">
        <v>5569</v>
      </c>
    </row>
    <row r="536" spans="1:8">
      <c r="A536" s="27">
        <v>46071</v>
      </c>
      <c r="B536" s="28">
        <f t="shared" ref="B536" si="191">G535</f>
        <v>282415877.52499926</v>
      </c>
      <c r="C536" s="29">
        <v>-4835761.5799999991</v>
      </c>
      <c r="D536" s="29">
        <v>5346514.72</v>
      </c>
      <c r="E536" s="29">
        <v>5567907.4399999985</v>
      </c>
      <c r="F536" s="29">
        <v>-33152155.280000001</v>
      </c>
      <c r="G536" s="30">
        <f t="shared" si="185"/>
        <v>255342382.8249993</v>
      </c>
      <c r="H536" s="26" t="s">
        <v>5586</v>
      </c>
    </row>
    <row r="537" spans="1:8">
      <c r="A537" s="27">
        <v>46072</v>
      </c>
      <c r="B537" s="28">
        <f t="shared" ref="B537:B544" si="192">G536</f>
        <v>255342382.8249993</v>
      </c>
      <c r="C537" s="29">
        <v>-4162116.9200000013</v>
      </c>
      <c r="D537" s="29">
        <v>637890.31000000006</v>
      </c>
      <c r="E537" s="29">
        <v>479481.39</v>
      </c>
      <c r="F537" s="29">
        <v>-6831913.3499999996</v>
      </c>
      <c r="G537" s="30">
        <f t="shared" si="185"/>
        <v>245465724.25499931</v>
      </c>
      <c r="H537" s="26" t="s">
        <v>5614</v>
      </c>
    </row>
    <row r="538" spans="1:8">
      <c r="A538" s="27">
        <v>46073</v>
      </c>
      <c r="B538" s="28">
        <f t="shared" si="192"/>
        <v>245465724.25499931</v>
      </c>
      <c r="C538" s="29">
        <v>-4386394.57</v>
      </c>
      <c r="D538" s="29">
        <v>1575950.03</v>
      </c>
      <c r="E538" s="29">
        <v>3796434.86</v>
      </c>
      <c r="F538" s="29">
        <v>-2715935.39</v>
      </c>
      <c r="G538" s="30">
        <f t="shared" si="185"/>
        <v>243735779.18499935</v>
      </c>
      <c r="H538" s="26" t="s">
        <v>5621</v>
      </c>
    </row>
    <row r="539" spans="1:8">
      <c r="A539" s="27">
        <v>46074</v>
      </c>
      <c r="B539" s="28">
        <f t="shared" si="192"/>
        <v>243735779.18499935</v>
      </c>
      <c r="C539" s="29">
        <v>0</v>
      </c>
      <c r="D539" s="29">
        <v>0</v>
      </c>
      <c r="E539" s="29">
        <v>0</v>
      </c>
      <c r="F539" s="29">
        <v>0</v>
      </c>
      <c r="G539" s="30">
        <f t="shared" si="185"/>
        <v>243735779.18499935</v>
      </c>
    </row>
    <row r="540" spans="1:8">
      <c r="A540" s="27">
        <v>46075</v>
      </c>
      <c r="B540" s="28">
        <f t="shared" si="192"/>
        <v>243735779.18499935</v>
      </c>
      <c r="C540" s="29">
        <v>0</v>
      </c>
      <c r="D540" s="29">
        <v>0</v>
      </c>
      <c r="E540" s="29">
        <v>0</v>
      </c>
      <c r="F540" s="29">
        <v>0</v>
      </c>
      <c r="G540" s="30">
        <f t="shared" si="185"/>
        <v>243735779.18499935</v>
      </c>
    </row>
    <row r="541" spans="1:8">
      <c r="A541" s="27">
        <v>46076</v>
      </c>
      <c r="B541" s="28">
        <f t="shared" si="192"/>
        <v>243735779.18499935</v>
      </c>
      <c r="C541" s="29">
        <v>-2946700.6</v>
      </c>
      <c r="D541" s="29">
        <v>2700975.14</v>
      </c>
      <c r="E541" s="29">
        <v>2118648.25</v>
      </c>
      <c r="F541" s="29">
        <v>-69.819999999999993</v>
      </c>
      <c r="G541" s="30">
        <f t="shared" si="185"/>
        <v>245608632.15499935</v>
      </c>
      <c r="H541" s="26" t="s">
        <v>5629</v>
      </c>
    </row>
    <row r="542" spans="1:8">
      <c r="A542" s="27">
        <v>46077</v>
      </c>
      <c r="B542" s="28">
        <f t="shared" si="192"/>
        <v>245608632.15499935</v>
      </c>
      <c r="C542" s="29">
        <v>-654090.27</v>
      </c>
      <c r="D542" s="29">
        <v>2111925.66</v>
      </c>
      <c r="E542" s="29">
        <v>21278873.739999998</v>
      </c>
      <c r="F542" s="29">
        <v>-21607176.25</v>
      </c>
      <c r="G542" s="30">
        <f t="shared" si="185"/>
        <v>246738165.03499934</v>
      </c>
      <c r="H542" s="26" t="s">
        <v>5635</v>
      </c>
    </row>
    <row r="543" spans="1:8">
      <c r="A543" s="27">
        <v>46078</v>
      </c>
      <c r="B543" s="28">
        <f t="shared" si="192"/>
        <v>246738165.03499934</v>
      </c>
      <c r="C543" s="29">
        <v>-4869561.9800000004</v>
      </c>
      <c r="D543" s="29">
        <v>10776281.539999999</v>
      </c>
      <c r="E543" s="29">
        <v>645916.56000000006</v>
      </c>
      <c r="F543" s="29">
        <v>-8673446.3300000001</v>
      </c>
      <c r="G543" s="30">
        <f t="shared" si="185"/>
        <v>244617354.82499933</v>
      </c>
      <c r="H543" s="26" t="s">
        <v>5649</v>
      </c>
    </row>
    <row r="544" spans="1:8">
      <c r="A544" s="27">
        <v>46079</v>
      </c>
      <c r="B544" s="28">
        <f t="shared" si="192"/>
        <v>244617354.82499933</v>
      </c>
      <c r="C544" s="29">
        <v>-5525939.5300000003</v>
      </c>
      <c r="D544" s="29">
        <v>6614799.29</v>
      </c>
      <c r="E544" s="29">
        <v>1242304.3799999999</v>
      </c>
      <c r="F544" s="29">
        <v>-806003.33</v>
      </c>
      <c r="G544" s="30">
        <f t="shared" si="185"/>
        <v>246142515.63499931</v>
      </c>
      <c r="H544" s="26" t="s">
        <v>5666</v>
      </c>
    </row>
    <row r="545" spans="1:8">
      <c r="A545" s="27">
        <v>46080</v>
      </c>
      <c r="B545" s="28">
        <f t="shared" ref="B545" si="193">G544</f>
        <v>246142515.63499931</v>
      </c>
      <c r="C545" s="29">
        <v>-1204597.1300000001</v>
      </c>
      <c r="D545" s="29">
        <v>1786829.98</v>
      </c>
      <c r="E545" s="29">
        <v>1182790.9099999999</v>
      </c>
      <c r="F545" s="29">
        <v>-76569696.469999999</v>
      </c>
      <c r="G545" s="30">
        <f t="shared" si="185"/>
        <v>171337842.9249993</v>
      </c>
      <c r="H545" s="26" t="s">
        <v>5675</v>
      </c>
    </row>
    <row r="546" spans="1:8">
      <c r="A546" s="27">
        <v>46081</v>
      </c>
      <c r="B546" s="28">
        <f t="shared" ref="B546:B548" si="194">G545</f>
        <v>171337842.9249993</v>
      </c>
      <c r="C546" s="29">
        <v>0</v>
      </c>
      <c r="D546" s="29">
        <v>0</v>
      </c>
      <c r="E546" s="29">
        <v>0</v>
      </c>
      <c r="F546" s="29">
        <v>0</v>
      </c>
      <c r="G546" s="30">
        <f t="shared" si="185"/>
        <v>171337842.9249993</v>
      </c>
    </row>
    <row r="547" spans="1:8">
      <c r="A547" s="27">
        <v>46082</v>
      </c>
      <c r="B547" s="28">
        <f t="shared" si="194"/>
        <v>171337842.9249993</v>
      </c>
      <c r="C547" s="29">
        <v>0</v>
      </c>
      <c r="D547" s="29">
        <v>0</v>
      </c>
      <c r="E547" s="29">
        <v>0</v>
      </c>
      <c r="F547" s="29">
        <v>0</v>
      </c>
      <c r="G547" s="30">
        <f t="shared" si="185"/>
        <v>171337842.9249993</v>
      </c>
    </row>
    <row r="548" spans="1:8">
      <c r="A548" s="27">
        <v>46083</v>
      </c>
      <c r="B548" s="28">
        <f t="shared" si="194"/>
        <v>171337842.9249993</v>
      </c>
      <c r="C548" s="29">
        <v>-3114705.0300000012</v>
      </c>
      <c r="D548" s="29">
        <v>35934022.649999999</v>
      </c>
      <c r="E548" s="29">
        <v>208433418.06</v>
      </c>
      <c r="F548" s="29">
        <v>-276579.71999999997</v>
      </c>
      <c r="G548" s="30">
        <f t="shared" si="185"/>
        <v>412313998.88499928</v>
      </c>
      <c r="H548" s="26" t="s">
        <v>5680</v>
      </c>
    </row>
    <row r="549" spans="1:8">
      <c r="A549" s="27">
        <v>46084</v>
      </c>
      <c r="B549" s="28">
        <f t="shared" ref="B549" si="195">G548</f>
        <v>412313998.88499928</v>
      </c>
      <c r="C549" s="29">
        <v>-1445394.2999999996</v>
      </c>
      <c r="D549" s="29">
        <v>8332385.2299999995</v>
      </c>
      <c r="E549" s="29">
        <v>49933528.190000013</v>
      </c>
      <c r="F549" s="29">
        <v>-1116780.1299999999</v>
      </c>
      <c r="G549" s="30">
        <f t="shared" si="185"/>
        <v>468017737.87499928</v>
      </c>
      <c r="H549" s="26" t="s">
        <v>5690</v>
      </c>
    </row>
    <row r="550" spans="1:8">
      <c r="A550" s="27">
        <v>46085</v>
      </c>
      <c r="B550" s="28">
        <f t="shared" ref="B550" si="196">G549</f>
        <v>468017737.87499928</v>
      </c>
      <c r="C550" s="29">
        <v>-2747307.0200000005</v>
      </c>
      <c r="D550" s="29">
        <v>3073957.35</v>
      </c>
      <c r="E550" s="29">
        <v>38540742.04999999</v>
      </c>
      <c r="F550" s="29">
        <v>-33970869.25</v>
      </c>
      <c r="G550" s="30">
        <f t="shared" si="185"/>
        <v>472914261.00499934</v>
      </c>
      <c r="H550" s="26" t="s">
        <v>5702</v>
      </c>
    </row>
    <row r="551" spans="1:8">
      <c r="A551" s="27">
        <v>46086</v>
      </c>
      <c r="B551" s="28">
        <f t="shared" ref="B551:B558" si="197">G550</f>
        <v>472914261.00499934</v>
      </c>
      <c r="C551" s="29">
        <v>-7389856.3600000013</v>
      </c>
      <c r="D551" s="29">
        <v>597527.58000000007</v>
      </c>
      <c r="E551" s="29">
        <v>13043153.300000001</v>
      </c>
      <c r="F551" s="29">
        <v>-5968345.8900000006</v>
      </c>
      <c r="G551" s="30">
        <f t="shared" si="185"/>
        <v>473196739.63499933</v>
      </c>
      <c r="H551" s="26" t="s">
        <v>5723</v>
      </c>
    </row>
    <row r="552" spans="1:8">
      <c r="A552" s="27">
        <v>46087</v>
      </c>
      <c r="B552" s="28">
        <f t="shared" si="197"/>
        <v>473196739.63499933</v>
      </c>
      <c r="C552" s="29">
        <v>-94650028.390000001</v>
      </c>
      <c r="D552" s="29">
        <v>5402397.6600000001</v>
      </c>
      <c r="E552" s="29">
        <v>1502217.84</v>
      </c>
      <c r="F552" s="29">
        <v>-19959582.23</v>
      </c>
      <c r="G552" s="30">
        <f t="shared" si="185"/>
        <v>365491744.51499933</v>
      </c>
      <c r="H552" s="26" t="s">
        <v>5736</v>
      </c>
    </row>
    <row r="553" spans="1:8">
      <c r="A553" s="27">
        <v>46088</v>
      </c>
      <c r="B553" s="28">
        <f t="shared" si="197"/>
        <v>365491744.51499933</v>
      </c>
      <c r="C553" s="29">
        <v>0</v>
      </c>
      <c r="D553" s="29">
        <v>0</v>
      </c>
      <c r="E553" s="29">
        <v>0</v>
      </c>
      <c r="F553" s="29">
        <v>0</v>
      </c>
      <c r="G553" s="30">
        <f t="shared" si="185"/>
        <v>365491744.51499933</v>
      </c>
    </row>
    <row r="554" spans="1:8">
      <c r="A554" s="27">
        <v>46089</v>
      </c>
      <c r="B554" s="28">
        <f t="shared" si="197"/>
        <v>365491744.51499933</v>
      </c>
      <c r="C554" s="29">
        <v>0</v>
      </c>
      <c r="D554" s="29">
        <v>0</v>
      </c>
      <c r="E554" s="29">
        <v>0</v>
      </c>
      <c r="F554" s="29">
        <v>0</v>
      </c>
      <c r="G554" s="30">
        <f t="shared" si="185"/>
        <v>365491744.51499933</v>
      </c>
    </row>
    <row r="555" spans="1:8">
      <c r="A555" s="27">
        <v>46090</v>
      </c>
      <c r="B555" s="28">
        <f t="shared" si="197"/>
        <v>365491744.51499933</v>
      </c>
      <c r="C555" s="29">
        <v>-7814759.4400000004</v>
      </c>
      <c r="D555" s="29">
        <v>8725286.8900000006</v>
      </c>
      <c r="E555" s="29">
        <v>0</v>
      </c>
      <c r="F555" s="29">
        <v>0</v>
      </c>
      <c r="G555" s="30">
        <f t="shared" si="185"/>
        <v>366402271.96499932</v>
      </c>
      <c r="H555" s="26" t="s">
        <v>5751</v>
      </c>
    </row>
    <row r="556" spans="1:8">
      <c r="A556" s="27">
        <v>46091</v>
      </c>
      <c r="B556" s="28">
        <f t="shared" si="197"/>
        <v>366402271.96499932</v>
      </c>
      <c r="C556" s="29">
        <v>-4232857.6500000004</v>
      </c>
      <c r="D556" s="29">
        <v>998566.06</v>
      </c>
      <c r="E556" s="29">
        <v>11603597.619999999</v>
      </c>
      <c r="F556" s="29">
        <v>-12397540.460000001</v>
      </c>
      <c r="G556" s="30">
        <f t="shared" si="185"/>
        <v>362374037.53499937</v>
      </c>
      <c r="H556" s="26" t="s">
        <v>5760</v>
      </c>
    </row>
    <row r="557" spans="1:8">
      <c r="A557" s="27">
        <v>46092</v>
      </c>
      <c r="B557" s="28">
        <f t="shared" si="197"/>
        <v>362374037.53499937</v>
      </c>
      <c r="C557" s="29">
        <v>-1369266.94</v>
      </c>
      <c r="D557" s="29">
        <v>2400962.61</v>
      </c>
      <c r="E557" s="29">
        <v>-78353446.170000002</v>
      </c>
      <c r="F557" s="29">
        <v>33256.400000000001</v>
      </c>
      <c r="G557" s="30">
        <f t="shared" si="185"/>
        <v>285085543.43499935</v>
      </c>
      <c r="H557" s="26" t="s">
        <v>5765</v>
      </c>
    </row>
    <row r="558" spans="1:8">
      <c r="A558" s="27">
        <v>46093</v>
      </c>
      <c r="B558" s="28">
        <f t="shared" si="197"/>
        <v>285085543.43499935</v>
      </c>
      <c r="C558" s="29">
        <v>-6299041.8899999997</v>
      </c>
      <c r="D558" s="29">
        <v>1519457.03</v>
      </c>
      <c r="E558" s="29">
        <v>3233558.73</v>
      </c>
      <c r="F558" s="29">
        <v>-10377619.93</v>
      </c>
      <c r="G558" s="30">
        <f t="shared" si="185"/>
        <v>273161897.37499934</v>
      </c>
      <c r="H558" s="26" t="s">
        <v>5785</v>
      </c>
    </row>
    <row r="559" spans="1:8">
      <c r="A559" s="27">
        <v>46094</v>
      </c>
      <c r="B559" s="28">
        <f t="shared" ref="B559:B561" si="198">G558</f>
        <v>273161897.37499934</v>
      </c>
      <c r="C559" s="29">
        <v>-2400085.4799999991</v>
      </c>
      <c r="D559" s="29">
        <v>6954565.5199999996</v>
      </c>
      <c r="E559" s="29">
        <v>603382.36999999976</v>
      </c>
      <c r="F559" s="29">
        <v>-714833.47</v>
      </c>
      <c r="G559" s="30">
        <f t="shared" si="185"/>
        <v>277604926.31499928</v>
      </c>
      <c r="H559" s="26" t="s">
        <v>5786</v>
      </c>
    </row>
    <row r="560" spans="1:8">
      <c r="A560" s="27">
        <v>46095</v>
      </c>
      <c r="B560" s="28">
        <f t="shared" si="198"/>
        <v>277604926.31499928</v>
      </c>
      <c r="C560" s="29">
        <v>0</v>
      </c>
      <c r="D560" s="29">
        <v>0</v>
      </c>
      <c r="E560" s="29">
        <v>0</v>
      </c>
      <c r="F560" s="29">
        <v>0</v>
      </c>
      <c r="G560" s="30">
        <f t="shared" si="185"/>
        <v>277604926.31499928</v>
      </c>
    </row>
    <row r="561" spans="1:8">
      <c r="A561" s="27">
        <v>46096</v>
      </c>
      <c r="B561" s="28">
        <f t="shared" si="198"/>
        <v>277604926.31499928</v>
      </c>
      <c r="C561" s="29">
        <v>0</v>
      </c>
      <c r="D561" s="29">
        <v>0</v>
      </c>
      <c r="E561" s="29">
        <v>0</v>
      </c>
      <c r="F561" s="29">
        <v>0</v>
      </c>
      <c r="G561" s="30">
        <f t="shared" si="185"/>
        <v>277604926.31499928</v>
      </c>
    </row>
    <row r="562" spans="1:8">
      <c r="A562" s="27">
        <v>46097</v>
      </c>
      <c r="B562" s="28">
        <f t="shared" ref="B562" si="199">G561</f>
        <v>277604926.31499928</v>
      </c>
      <c r="C562" s="29">
        <v>-3170128.7400000016</v>
      </c>
      <c r="D562" s="29">
        <v>429085.62999999995</v>
      </c>
      <c r="E562" s="29">
        <v>11593.29</v>
      </c>
      <c r="F562" s="29">
        <v>-321892.23</v>
      </c>
      <c r="G562" s="30">
        <f t="shared" si="185"/>
        <v>274553584.26499927</v>
      </c>
    </row>
    <row r="563" spans="1:8">
      <c r="A563" s="27">
        <v>46098</v>
      </c>
      <c r="B563" s="28">
        <f t="shared" ref="B563" si="200">G562</f>
        <v>274553584.26499927</v>
      </c>
      <c r="C563" s="29">
        <v>-83010904.549999997</v>
      </c>
      <c r="D563" s="29">
        <v>10044745.359999999</v>
      </c>
      <c r="E563" s="29">
        <v>97629551.110000014</v>
      </c>
      <c r="F563" s="29">
        <v>-4899789.37</v>
      </c>
      <c r="G563" s="30">
        <f t="shared" si="185"/>
        <v>294317186.81499928</v>
      </c>
      <c r="H563" s="26" t="s">
        <v>5791</v>
      </c>
    </row>
    <row r="564" spans="1:8">
      <c r="A564" s="27">
        <v>46099</v>
      </c>
      <c r="B564" s="28">
        <f t="shared" ref="B564" si="201">G563</f>
        <v>294317186.81499928</v>
      </c>
      <c r="C564" s="29">
        <v>-74825390.39000006</v>
      </c>
      <c r="D564" s="29">
        <v>2741004.3200000003</v>
      </c>
      <c r="E564" s="29">
        <v>12775559.449999997</v>
      </c>
      <c r="F564" s="29">
        <v>-8945021.6699999999</v>
      </c>
      <c r="G564" s="30">
        <f t="shared" si="185"/>
        <v>226063338.52499923</v>
      </c>
      <c r="H564" s="26" t="s">
        <v>5815</v>
      </c>
    </row>
    <row r="565" spans="1:8">
      <c r="A565" s="27">
        <v>46100</v>
      </c>
      <c r="B565" s="28">
        <f t="shared" ref="B565:B572" si="202">G564</f>
        <v>226063338.52499923</v>
      </c>
      <c r="C565" s="29">
        <v>-2970538.63</v>
      </c>
      <c r="D565" s="29">
        <v>7478022.8300000001</v>
      </c>
      <c r="E565" s="29">
        <v>1006883.6799999999</v>
      </c>
      <c r="F565" s="29">
        <v>-85662.8</v>
      </c>
      <c r="G565" s="30">
        <f t="shared" si="185"/>
        <v>231492043.60499924</v>
      </c>
      <c r="H565" s="26" t="s">
        <v>5826</v>
      </c>
    </row>
    <row r="566" spans="1:8">
      <c r="A566" s="27">
        <v>46101</v>
      </c>
      <c r="B566" s="28">
        <f t="shared" si="202"/>
        <v>231492043.60499924</v>
      </c>
      <c r="C566" s="29">
        <v>-4196121.63</v>
      </c>
      <c r="D566" s="29">
        <v>4250729.92</v>
      </c>
      <c r="E566" s="29">
        <v>2395450.4900000002</v>
      </c>
      <c r="F566" s="29">
        <v>-21967156.989999998</v>
      </c>
      <c r="G566" s="30">
        <f t="shared" si="185"/>
        <v>211974945.39499924</v>
      </c>
      <c r="H566" s="26" t="s">
        <v>5832</v>
      </c>
    </row>
    <row r="567" spans="1:8">
      <c r="A567" s="27">
        <v>46102</v>
      </c>
      <c r="B567" s="28">
        <f t="shared" si="202"/>
        <v>211974945.39499924</v>
      </c>
      <c r="C567" s="29">
        <v>0</v>
      </c>
      <c r="D567" s="29">
        <v>0</v>
      </c>
      <c r="E567" s="29">
        <v>0</v>
      </c>
      <c r="F567" s="29">
        <v>0</v>
      </c>
      <c r="G567" s="30">
        <f t="shared" si="185"/>
        <v>211974945.39499924</v>
      </c>
    </row>
    <row r="568" spans="1:8">
      <c r="A568" s="27">
        <v>46103</v>
      </c>
      <c r="B568" s="28">
        <f t="shared" si="202"/>
        <v>211974945.39499924</v>
      </c>
      <c r="C568" s="29">
        <v>0</v>
      </c>
      <c r="D568" s="29">
        <v>0</v>
      </c>
      <c r="E568" s="29">
        <v>0</v>
      </c>
      <c r="F568" s="29">
        <v>0</v>
      </c>
      <c r="G568" s="30">
        <f t="shared" si="185"/>
        <v>211974945.39499924</v>
      </c>
    </row>
    <row r="569" spans="1:8">
      <c r="A569" s="27">
        <v>46104</v>
      </c>
      <c r="B569" s="28">
        <f t="shared" si="202"/>
        <v>211974945.39499924</v>
      </c>
      <c r="C569" s="29">
        <v>-3599254.62</v>
      </c>
      <c r="D569" s="29">
        <v>268079.34000000003</v>
      </c>
      <c r="E569" s="29">
        <v>224.4</v>
      </c>
      <c r="F569" s="29">
        <v>0</v>
      </c>
      <c r="G569" s="30">
        <f t="shared" si="185"/>
        <v>208643994.51499924</v>
      </c>
      <c r="H569" s="26" t="s">
        <v>5850</v>
      </c>
    </row>
    <row r="570" spans="1:8">
      <c r="A570" s="27">
        <v>46105</v>
      </c>
      <c r="B570" s="28">
        <f t="shared" si="202"/>
        <v>208643994.51499924</v>
      </c>
      <c r="C570" s="29">
        <v>-1553506.09</v>
      </c>
      <c r="D570" s="29">
        <v>1641407.66</v>
      </c>
      <c r="E570" s="29">
        <v>24252066.539999999</v>
      </c>
      <c r="F570" s="29">
        <v>-76789919.859999999</v>
      </c>
      <c r="G570" s="30">
        <f t="shared" si="185"/>
        <v>156194042.76499921</v>
      </c>
      <c r="H570" s="26" t="s">
        <v>5853</v>
      </c>
    </row>
    <row r="571" spans="1:8">
      <c r="A571" s="27">
        <v>46106</v>
      </c>
      <c r="B571" s="28">
        <f t="shared" si="202"/>
        <v>156194042.76499921</v>
      </c>
      <c r="C571" s="29">
        <v>-1871330.94</v>
      </c>
      <c r="D571" s="29">
        <v>15688618.720000001</v>
      </c>
      <c r="E571" s="29">
        <v>2279428.16</v>
      </c>
      <c r="F571" s="29">
        <v>-1131523.6399999999</v>
      </c>
      <c r="G571" s="30">
        <f t="shared" si="185"/>
        <v>171159235.06499922</v>
      </c>
      <c r="H571" s="26" t="s">
        <v>5863</v>
      </c>
    </row>
    <row r="572" spans="1:8">
      <c r="A572" s="27">
        <v>46107</v>
      </c>
      <c r="B572" s="28">
        <f t="shared" si="202"/>
        <v>171159235.06499922</v>
      </c>
      <c r="C572" s="29">
        <v>-6987957.8499999996</v>
      </c>
      <c r="D572" s="29">
        <v>8923540.7899999991</v>
      </c>
      <c r="E572" s="29">
        <v>10723182.789999999</v>
      </c>
      <c r="F572" s="29">
        <v>-1861717.8</v>
      </c>
      <c r="G572" s="30">
        <f t="shared" si="185"/>
        <v>181956282.9949992</v>
      </c>
      <c r="H572" s="26" t="s">
        <v>5873</v>
      </c>
    </row>
    <row r="573" spans="1:8">
      <c r="A573" s="27">
        <v>46108</v>
      </c>
      <c r="B573" s="28">
        <f t="shared" ref="B573:B578" si="203">G572</f>
        <v>181956282.9949992</v>
      </c>
      <c r="C573" s="29">
        <v>-5871936.6600000001</v>
      </c>
      <c r="D573" s="29">
        <v>10530304.6</v>
      </c>
      <c r="E573" s="29">
        <v>2581186.7400000002</v>
      </c>
      <c r="F573" s="29">
        <v>-917305.83000000007</v>
      </c>
      <c r="G573" s="30">
        <f t="shared" si="185"/>
        <v>188278531.84499919</v>
      </c>
      <c r="H573" s="26" t="s">
        <v>5887</v>
      </c>
    </row>
    <row r="574" spans="1:8">
      <c r="A574" s="27">
        <v>46109</v>
      </c>
      <c r="B574" s="28">
        <f t="shared" si="203"/>
        <v>188278531.84499919</v>
      </c>
      <c r="C574" s="29">
        <v>0</v>
      </c>
      <c r="D574" s="29">
        <v>0</v>
      </c>
      <c r="E574" s="29">
        <v>0</v>
      </c>
      <c r="F574" s="29">
        <v>0</v>
      </c>
      <c r="G574" s="30">
        <f t="shared" si="185"/>
        <v>188278531.84499919</v>
      </c>
    </row>
    <row r="575" spans="1:8">
      <c r="A575" s="27">
        <v>46110</v>
      </c>
      <c r="B575" s="28">
        <f t="shared" si="203"/>
        <v>188278531.84499919</v>
      </c>
      <c r="C575" s="29">
        <v>0</v>
      </c>
      <c r="D575" s="29">
        <v>0</v>
      </c>
      <c r="E575" s="29">
        <v>0</v>
      </c>
      <c r="F575" s="29">
        <v>0</v>
      </c>
      <c r="G575" s="30">
        <f t="shared" si="185"/>
        <v>188278531.84499919</v>
      </c>
    </row>
    <row r="576" spans="1:8">
      <c r="A576" s="27">
        <v>46111</v>
      </c>
      <c r="B576" s="28">
        <f t="shared" si="203"/>
        <v>188278531.84499919</v>
      </c>
      <c r="C576" s="29">
        <v>-2779242.92</v>
      </c>
      <c r="D576" s="29">
        <v>2254099.56</v>
      </c>
      <c r="E576" s="29">
        <v>11263828.83</v>
      </c>
      <c r="F576" s="29">
        <v>0</v>
      </c>
      <c r="G576" s="30">
        <f t="shared" si="185"/>
        <v>199017217.31499922</v>
      </c>
      <c r="H576" s="26" t="s">
        <v>5903</v>
      </c>
    </row>
    <row r="577" spans="1:8">
      <c r="A577" s="27">
        <v>46112</v>
      </c>
      <c r="B577" s="28">
        <f t="shared" si="203"/>
        <v>199017217.31499922</v>
      </c>
      <c r="C577" s="29">
        <v>-5259844.8</v>
      </c>
      <c r="D577" s="29">
        <v>4536175.4800000004</v>
      </c>
      <c r="E577" s="29">
        <v>37984907.640000001</v>
      </c>
      <c r="F577" s="29">
        <v>-839703.06</v>
      </c>
      <c r="G577" s="30">
        <f t="shared" si="185"/>
        <v>235438752.57499921</v>
      </c>
      <c r="H577" s="26" t="s">
        <v>5908</v>
      </c>
    </row>
    <row r="578" spans="1:8">
      <c r="A578" s="27">
        <v>46113</v>
      </c>
      <c r="B578" s="28">
        <f t="shared" si="203"/>
        <v>235438752.57499921</v>
      </c>
      <c r="C578" s="29">
        <v>-3166933.54</v>
      </c>
      <c r="D578" s="29">
        <v>1707783.5</v>
      </c>
      <c r="E578" s="29">
        <v>89398210.629999995</v>
      </c>
      <c r="F578" s="29">
        <v>-3756495.79</v>
      </c>
      <c r="G578" s="30">
        <f t="shared" si="185"/>
        <v>319621317.37499923</v>
      </c>
      <c r="H578" s="26" t="s">
        <v>5928</v>
      </c>
    </row>
    <row r="579" spans="1:8">
      <c r="A579" s="27">
        <v>46114</v>
      </c>
      <c r="B579" s="28">
        <f t="shared" ref="B579:B586" si="204">G578</f>
        <v>319621317.37499923</v>
      </c>
      <c r="C579" s="29">
        <v>-3095998.4200000004</v>
      </c>
      <c r="D579" s="29">
        <v>42594867.910000004</v>
      </c>
      <c r="E579" s="29">
        <v>2399970.56</v>
      </c>
      <c r="F579" s="29">
        <v>-1067630.71</v>
      </c>
      <c r="G579" s="30">
        <f t="shared" si="185"/>
        <v>360452526.71499926</v>
      </c>
      <c r="H579" s="26" t="s">
        <v>5954</v>
      </c>
    </row>
    <row r="580" spans="1:8">
      <c r="A580" s="27">
        <v>46115</v>
      </c>
      <c r="B580" s="28">
        <f t="shared" si="204"/>
        <v>360452526.71499926</v>
      </c>
      <c r="C580" s="29">
        <v>-2504641.33</v>
      </c>
      <c r="D580" s="29">
        <v>15575274.039999999</v>
      </c>
      <c r="E580" s="29">
        <v>957879.38</v>
      </c>
      <c r="F580" s="29">
        <v>-99707587.609999999</v>
      </c>
      <c r="G580" s="30">
        <f t="shared" si="185"/>
        <v>274773451.19499928</v>
      </c>
      <c r="H580" s="26" t="s">
        <v>5972</v>
      </c>
    </row>
    <row r="581" spans="1:8">
      <c r="A581" s="27">
        <v>46116</v>
      </c>
      <c r="B581" s="28">
        <f t="shared" si="204"/>
        <v>274773451.19499928</v>
      </c>
      <c r="C581" s="29">
        <v>0</v>
      </c>
      <c r="D581" s="29">
        <v>0</v>
      </c>
      <c r="E581" s="29">
        <v>0</v>
      </c>
      <c r="F581" s="29">
        <v>0</v>
      </c>
      <c r="G581" s="30">
        <f t="shared" si="185"/>
        <v>274773451.19499928</v>
      </c>
    </row>
    <row r="582" spans="1:8">
      <c r="A582" s="27">
        <v>46117</v>
      </c>
      <c r="B582" s="28">
        <f t="shared" si="204"/>
        <v>274773451.19499928</v>
      </c>
      <c r="C582" s="29">
        <v>0</v>
      </c>
      <c r="D582" s="29">
        <v>0</v>
      </c>
      <c r="E582" s="29">
        <v>0</v>
      </c>
      <c r="F582" s="29">
        <v>0</v>
      </c>
      <c r="G582" s="30">
        <f t="shared" si="185"/>
        <v>274773451.19499928</v>
      </c>
    </row>
    <row r="583" spans="1:8">
      <c r="A583" s="27">
        <v>46118</v>
      </c>
      <c r="B583" s="28">
        <f t="shared" si="204"/>
        <v>274773451.19499928</v>
      </c>
      <c r="C583" s="29">
        <v>-6862545.5700000003</v>
      </c>
      <c r="D583" s="29">
        <v>1439224.89</v>
      </c>
      <c r="E583" s="29">
        <v>0</v>
      </c>
      <c r="F583" s="29">
        <v>0</v>
      </c>
      <c r="G583" s="30">
        <f t="shared" si="185"/>
        <v>269350130.51499927</v>
      </c>
      <c r="H583" s="26" t="s">
        <v>5987</v>
      </c>
    </row>
    <row r="584" spans="1:8">
      <c r="A584" s="27">
        <v>46119</v>
      </c>
      <c r="B584" s="28">
        <f t="shared" si="204"/>
        <v>269350130.51499927</v>
      </c>
      <c r="C584" s="29">
        <v>-1443134.6</v>
      </c>
      <c r="D584" s="29">
        <v>1457060.91</v>
      </c>
      <c r="E584" s="29">
        <v>92523.49</v>
      </c>
      <c r="F584" s="29">
        <v>-486129.11</v>
      </c>
      <c r="G584" s="30">
        <f t="shared" si="185"/>
        <v>268970451.20499927</v>
      </c>
    </row>
    <row r="585" spans="1:8">
      <c r="A585" s="27">
        <v>46120</v>
      </c>
      <c r="B585" s="28">
        <f t="shared" si="204"/>
        <v>268970451.20499927</v>
      </c>
      <c r="C585" s="29">
        <v>-11469221.710000001</v>
      </c>
      <c r="D585" s="29">
        <v>561171.16</v>
      </c>
      <c r="E585" s="29">
        <v>1450096.23</v>
      </c>
      <c r="F585" s="29">
        <v>-1728578.5</v>
      </c>
      <c r="G585" s="30">
        <f t="shared" si="185"/>
        <v>257783918.38499925</v>
      </c>
      <c r="H585" s="26" t="s">
        <v>5996</v>
      </c>
    </row>
    <row r="586" spans="1:8">
      <c r="A586" s="27">
        <v>46121</v>
      </c>
      <c r="B586" s="28">
        <f t="shared" si="204"/>
        <v>257783918.38499925</v>
      </c>
      <c r="C586" s="29">
        <v>-10889062.18</v>
      </c>
      <c r="D586" s="29">
        <v>535147.38</v>
      </c>
      <c r="E586" s="29">
        <v>10731.46</v>
      </c>
      <c r="F586" s="29">
        <v>-1453507.88</v>
      </c>
      <c r="G586" s="30">
        <f t="shared" si="185"/>
        <v>245987227.16499925</v>
      </c>
      <c r="H586" s="26" t="s">
        <v>6000</v>
      </c>
    </row>
    <row r="587" spans="1:8">
      <c r="A587" s="27">
        <v>46122</v>
      </c>
      <c r="B587" s="28">
        <f t="shared" ref="B587" si="205">G586</f>
        <v>245987227.16499925</v>
      </c>
      <c r="C587" s="29">
        <v>-2485286.5199999996</v>
      </c>
      <c r="D587" s="29">
        <v>2454624.4499999997</v>
      </c>
      <c r="E587" s="29">
        <v>56717.100000000013</v>
      </c>
      <c r="F587" s="29">
        <v>-1008961.29</v>
      </c>
      <c r="G587" s="30">
        <f t="shared" si="185"/>
        <v>245004320.90499923</v>
      </c>
      <c r="H587" s="26" t="s">
        <v>6005</v>
      </c>
    </row>
    <row r="588" spans="1:8">
      <c r="A588" s="27">
        <v>46123</v>
      </c>
      <c r="B588" s="28">
        <f t="shared" ref="B588:B590" si="206">G587</f>
        <v>245004320.90499923</v>
      </c>
      <c r="C588" s="29">
        <v>0</v>
      </c>
      <c r="D588" s="29">
        <v>0</v>
      </c>
      <c r="E588" s="29">
        <v>0</v>
      </c>
      <c r="F588" s="29">
        <v>0</v>
      </c>
      <c r="G588" s="30">
        <f t="shared" si="185"/>
        <v>245004320.90499923</v>
      </c>
    </row>
    <row r="589" spans="1:8">
      <c r="A589" s="27">
        <v>46124</v>
      </c>
      <c r="B589" s="28">
        <f t="shared" si="206"/>
        <v>245004320.90499923</v>
      </c>
      <c r="C589" s="29">
        <v>0</v>
      </c>
      <c r="D589" s="29">
        <v>0</v>
      </c>
      <c r="E589" s="29">
        <v>0</v>
      </c>
      <c r="F589" s="29">
        <v>0</v>
      </c>
      <c r="G589" s="30">
        <f t="shared" ref="G589:G658" si="207">SUM(B589:F589)</f>
        <v>245004320.90499923</v>
      </c>
    </row>
    <row r="590" spans="1:8">
      <c r="A590" s="27">
        <v>46125</v>
      </c>
      <c r="B590" s="28">
        <f t="shared" si="206"/>
        <v>245004320.90499923</v>
      </c>
      <c r="C590" s="29">
        <v>-2824474.5399999996</v>
      </c>
      <c r="D590" s="29">
        <v>2481523.79</v>
      </c>
      <c r="E590" s="29">
        <v>167204.72999999998</v>
      </c>
      <c r="F590" s="29">
        <v>-809391.89999999991</v>
      </c>
      <c r="G590" s="30">
        <f t="shared" si="207"/>
        <v>244019182.98499921</v>
      </c>
      <c r="H590" s="26" t="s">
        <v>6010</v>
      </c>
    </row>
    <row r="591" spans="1:8">
      <c r="A591" s="27">
        <v>46126</v>
      </c>
      <c r="B591" s="28">
        <f t="shared" ref="B591" si="208">G590</f>
        <v>244019182.98499921</v>
      </c>
      <c r="C591" s="29">
        <v>-2098834.23</v>
      </c>
      <c r="D591" s="29">
        <v>6271887.6600000001</v>
      </c>
      <c r="E591" s="29">
        <v>36985449.849999994</v>
      </c>
      <c r="F591" s="29">
        <v>-726624.75</v>
      </c>
      <c r="G591" s="30">
        <f t="shared" si="207"/>
        <v>284451061.51499921</v>
      </c>
      <c r="H591" s="26" t="s">
        <v>6016</v>
      </c>
    </row>
    <row r="592" spans="1:8">
      <c r="A592" s="27">
        <v>46127</v>
      </c>
      <c r="B592" s="28">
        <f t="shared" ref="B592" si="209">G591</f>
        <v>284451061.51499921</v>
      </c>
      <c r="C592" s="29">
        <v>-5086471.18</v>
      </c>
      <c r="D592" s="29">
        <v>1638950.48</v>
      </c>
      <c r="E592" s="29">
        <v>20345700.449999999</v>
      </c>
      <c r="F592" s="29">
        <v>-62574899.230000004</v>
      </c>
      <c r="G592" s="30">
        <f t="shared" si="207"/>
        <v>238774342.03499919</v>
      </c>
      <c r="H592" s="26" t="s">
        <v>6023</v>
      </c>
    </row>
    <row r="593" spans="1:8">
      <c r="A593" s="27">
        <v>46128</v>
      </c>
      <c r="B593" s="28">
        <f t="shared" ref="B593:B601" si="210">G592</f>
        <v>238774342.03499919</v>
      </c>
      <c r="C593" s="29">
        <v>-1421316.3200000003</v>
      </c>
      <c r="D593" s="29">
        <v>796511.36</v>
      </c>
      <c r="E593" s="29">
        <v>92580.779999999984</v>
      </c>
      <c r="F593" s="29">
        <v>-24283489.140000001</v>
      </c>
      <c r="G593" s="30">
        <f t="shared" si="207"/>
        <v>213958628.7149992</v>
      </c>
      <c r="H593" s="26" t="s">
        <v>6055</v>
      </c>
    </row>
    <row r="594" spans="1:8">
      <c r="A594" s="27">
        <v>46129</v>
      </c>
      <c r="B594" s="28">
        <f t="shared" si="210"/>
        <v>213958628.7149992</v>
      </c>
      <c r="C594" s="29">
        <v>-3776889.2</v>
      </c>
      <c r="D594" s="29">
        <v>6092635.0299999993</v>
      </c>
      <c r="E594" s="29">
        <v>279001.51000000007</v>
      </c>
      <c r="F594" s="29">
        <v>-7481070.9100000001</v>
      </c>
      <c r="G594" s="30">
        <f t="shared" si="207"/>
        <v>209072305.14499921</v>
      </c>
      <c r="H594" s="26" t="s">
        <v>6059</v>
      </c>
    </row>
    <row r="595" spans="1:8">
      <c r="A595" s="27">
        <v>46130</v>
      </c>
      <c r="B595" s="28">
        <f t="shared" si="210"/>
        <v>209072305.14499921</v>
      </c>
      <c r="C595" s="29">
        <v>0</v>
      </c>
      <c r="D595" s="29">
        <v>0</v>
      </c>
      <c r="E595" s="29">
        <v>0</v>
      </c>
      <c r="F595" s="29">
        <v>0</v>
      </c>
      <c r="G595" s="30">
        <f t="shared" si="207"/>
        <v>209072305.14499921</v>
      </c>
    </row>
    <row r="596" spans="1:8">
      <c r="A596" s="27">
        <v>46131</v>
      </c>
      <c r="B596" s="28">
        <f t="shared" si="210"/>
        <v>209072305.14499921</v>
      </c>
      <c r="C596" s="29">
        <v>0</v>
      </c>
      <c r="D596" s="29">
        <v>0</v>
      </c>
      <c r="E596" s="29">
        <v>0</v>
      </c>
      <c r="F596" s="29">
        <v>0</v>
      </c>
      <c r="G596" s="30">
        <f t="shared" si="207"/>
        <v>209072305.14499921</v>
      </c>
    </row>
    <row r="597" spans="1:8">
      <c r="A597" s="27">
        <v>46132</v>
      </c>
      <c r="B597" s="28">
        <f t="shared" si="210"/>
        <v>209072305.14499921</v>
      </c>
      <c r="C597" s="29">
        <v>-3473513.33</v>
      </c>
      <c r="D597" s="29">
        <v>509378.52</v>
      </c>
      <c r="E597" s="29">
        <v>0</v>
      </c>
      <c r="F597" s="29">
        <v>0</v>
      </c>
      <c r="G597" s="30">
        <f t="shared" si="207"/>
        <v>206108170.3349992</v>
      </c>
      <c r="H597" s="26" t="s">
        <v>6071</v>
      </c>
    </row>
    <row r="598" spans="1:8">
      <c r="A598" s="27">
        <v>46133</v>
      </c>
      <c r="B598" s="28">
        <f t="shared" si="210"/>
        <v>206108170.3349992</v>
      </c>
      <c r="C598" s="29">
        <v>-3679213.01</v>
      </c>
      <c r="D598" s="29">
        <v>6757540.4100000001</v>
      </c>
      <c r="E598" s="29">
        <v>24797098.039999999</v>
      </c>
      <c r="F598" s="29">
        <v>-97483473.760000005</v>
      </c>
      <c r="G598" s="30">
        <f t="shared" si="207"/>
        <v>136500122.01499921</v>
      </c>
      <c r="H598" s="26" t="s">
        <v>6074</v>
      </c>
    </row>
    <row r="599" spans="1:8">
      <c r="A599" s="27">
        <v>46134</v>
      </c>
      <c r="B599" s="28">
        <f t="shared" si="210"/>
        <v>136500122.01499921</v>
      </c>
      <c r="C599" s="29">
        <v>-2275417.7200000002</v>
      </c>
      <c r="D599" s="29">
        <v>12513226.560000001</v>
      </c>
      <c r="E599" s="29">
        <v>55238305.100000001</v>
      </c>
      <c r="F599" s="29">
        <v>-2053866.76</v>
      </c>
      <c r="G599" s="30">
        <f t="shared" si="207"/>
        <v>199922369.19499922</v>
      </c>
      <c r="H599" s="26" t="s">
        <v>6088</v>
      </c>
    </row>
    <row r="600" spans="1:8">
      <c r="A600" s="27">
        <v>46135</v>
      </c>
      <c r="B600" s="28">
        <f t="shared" si="210"/>
        <v>199922369.19499922</v>
      </c>
      <c r="C600" s="29">
        <v>-2562567.52</v>
      </c>
      <c r="D600" s="29">
        <v>370831.6</v>
      </c>
      <c r="E600" s="29">
        <v>489756.42</v>
      </c>
      <c r="F600" s="29">
        <v>-439105.79</v>
      </c>
      <c r="G600" s="30">
        <f t="shared" si="207"/>
        <v>197781283.9049992</v>
      </c>
    </row>
    <row r="601" spans="1:8">
      <c r="A601" s="27">
        <v>46136</v>
      </c>
      <c r="B601" s="28">
        <f t="shared" si="210"/>
        <v>197781283.9049992</v>
      </c>
      <c r="C601" s="29">
        <v>-1810335.35</v>
      </c>
      <c r="D601" s="29">
        <v>7185367.5700000003</v>
      </c>
      <c r="E601" s="29">
        <v>1161968.44</v>
      </c>
      <c r="F601" s="29">
        <v>-5489517.8499999996</v>
      </c>
      <c r="G601" s="30">
        <f t="shared" si="207"/>
        <v>198828766.7149992</v>
      </c>
      <c r="H601" s="26" t="s">
        <v>6103</v>
      </c>
    </row>
    <row r="602" spans="1:8">
      <c r="A602" s="27">
        <v>46137</v>
      </c>
      <c r="B602" s="28">
        <f t="shared" ref="B602:B604" si="211">G601</f>
        <v>198828766.7149992</v>
      </c>
      <c r="C602" s="29">
        <v>0</v>
      </c>
      <c r="D602" s="29">
        <v>0</v>
      </c>
      <c r="E602" s="29">
        <v>0</v>
      </c>
      <c r="F602" s="29">
        <v>0</v>
      </c>
      <c r="G602" s="30">
        <f t="shared" si="207"/>
        <v>198828766.7149992</v>
      </c>
    </row>
    <row r="603" spans="1:8">
      <c r="A603" s="27">
        <v>46138</v>
      </c>
      <c r="B603" s="28">
        <f t="shared" si="211"/>
        <v>198828766.7149992</v>
      </c>
      <c r="C603" s="29">
        <v>0</v>
      </c>
      <c r="D603" s="29">
        <v>0</v>
      </c>
      <c r="E603" s="29">
        <v>0</v>
      </c>
      <c r="F603" s="29">
        <v>0</v>
      </c>
      <c r="G603" s="30">
        <f t="shared" si="207"/>
        <v>198828766.7149992</v>
      </c>
    </row>
    <row r="604" spans="1:8">
      <c r="A604" s="27">
        <v>46139</v>
      </c>
      <c r="B604" s="28">
        <f t="shared" si="211"/>
        <v>198828766.7149992</v>
      </c>
      <c r="C604" s="29">
        <v>-4224420.0500000007</v>
      </c>
      <c r="D604" s="29">
        <v>6653344.9000000004</v>
      </c>
      <c r="E604" s="29">
        <v>2560839.6700000004</v>
      </c>
      <c r="F604" s="29">
        <v>-923272.5</v>
      </c>
      <c r="G604" s="30">
        <f t="shared" si="207"/>
        <v>202895258.73499918</v>
      </c>
      <c r="H604" s="26" t="s">
        <v>6112</v>
      </c>
    </row>
    <row r="605" spans="1:8">
      <c r="A605" s="27">
        <v>46140</v>
      </c>
      <c r="B605" s="28">
        <f t="shared" ref="B605" si="212">G604</f>
        <v>202895258.73499918</v>
      </c>
      <c r="C605" s="29">
        <v>-3223725.9099999988</v>
      </c>
      <c r="D605" s="29">
        <v>47298743.649999999</v>
      </c>
      <c r="E605" s="29">
        <v>8292035.1199999982</v>
      </c>
      <c r="F605" s="29">
        <v>-126152.20999999999</v>
      </c>
      <c r="G605" s="30">
        <f t="shared" si="207"/>
        <v>255136159.38499919</v>
      </c>
      <c r="H605" s="26" t="s">
        <v>6124</v>
      </c>
    </row>
    <row r="606" spans="1:8">
      <c r="A606" s="27">
        <v>46141</v>
      </c>
      <c r="B606" s="28">
        <f t="shared" ref="B606" si="213">G605</f>
        <v>255136159.38499919</v>
      </c>
      <c r="C606" s="29">
        <v>-7087468.0999999978</v>
      </c>
      <c r="D606" s="29">
        <v>7038033.790000001</v>
      </c>
      <c r="E606" s="29">
        <v>36058824.079999991</v>
      </c>
      <c r="F606" s="29">
        <v>-1869579.85</v>
      </c>
      <c r="G606" s="30">
        <f t="shared" si="207"/>
        <v>289275969.30499917</v>
      </c>
      <c r="H606" s="26" t="s">
        <v>6148</v>
      </c>
    </row>
    <row r="607" spans="1:8">
      <c r="A607" s="27">
        <v>46142</v>
      </c>
      <c r="B607" s="28">
        <f t="shared" ref="B607:B611" si="214">G606</f>
        <v>289275969.30499917</v>
      </c>
      <c r="C607" s="29">
        <v>-4228500.620000002</v>
      </c>
      <c r="D607" s="29">
        <v>21270702.899999999</v>
      </c>
      <c r="E607" s="29">
        <v>8616169.75</v>
      </c>
      <c r="F607" s="29">
        <v>-2183739.5300000003</v>
      </c>
      <c r="G607" s="30">
        <f t="shared" si="207"/>
        <v>312750601.80499917</v>
      </c>
      <c r="H607" s="26" t="s">
        <v>6171</v>
      </c>
    </row>
    <row r="608" spans="1:8">
      <c r="A608" s="27">
        <v>46143</v>
      </c>
      <c r="B608" s="28">
        <f t="shared" si="214"/>
        <v>312750601.80499917</v>
      </c>
      <c r="C608" s="29">
        <v>-6601392.8200000003</v>
      </c>
      <c r="D608" s="29">
        <v>7265089.0199999996</v>
      </c>
      <c r="E608" s="29">
        <v>5211174.28</v>
      </c>
      <c r="F608" s="29">
        <v>-1083755.3799999999</v>
      </c>
      <c r="G608" s="30">
        <f t="shared" si="207"/>
        <v>317541716.90499914</v>
      </c>
      <c r="H608" s="26" t="s">
        <v>6183</v>
      </c>
    </row>
    <row r="609" spans="1:8">
      <c r="A609" s="27">
        <v>46144</v>
      </c>
      <c r="B609" s="28">
        <f t="shared" si="214"/>
        <v>317541716.90499914</v>
      </c>
      <c r="C609" s="29">
        <v>0</v>
      </c>
      <c r="D609" s="29">
        <v>0</v>
      </c>
      <c r="E609" s="29">
        <v>0</v>
      </c>
      <c r="F609" s="29">
        <v>0</v>
      </c>
      <c r="G609" s="30">
        <f t="shared" si="207"/>
        <v>317541716.90499914</v>
      </c>
    </row>
    <row r="610" spans="1:8">
      <c r="A610" s="27">
        <v>46145</v>
      </c>
      <c r="B610" s="28">
        <f t="shared" si="214"/>
        <v>317541716.90499914</v>
      </c>
      <c r="C610" s="29">
        <v>0</v>
      </c>
      <c r="D610" s="29">
        <v>0</v>
      </c>
      <c r="E610" s="29">
        <v>0</v>
      </c>
      <c r="F610" s="29">
        <v>0</v>
      </c>
      <c r="G610" s="30">
        <f t="shared" si="207"/>
        <v>317541716.90499914</v>
      </c>
    </row>
    <row r="611" spans="1:8">
      <c r="A611" s="27">
        <v>46146</v>
      </c>
      <c r="B611" s="28">
        <f t="shared" si="214"/>
        <v>317541716.90499914</v>
      </c>
      <c r="C611" s="29">
        <v>-4985538.97</v>
      </c>
      <c r="D611" s="29">
        <v>3492564.15</v>
      </c>
      <c r="E611" s="354">
        <v>0</v>
      </c>
      <c r="F611" s="29">
        <v>-137.75</v>
      </c>
      <c r="G611" s="30">
        <f t="shared" si="207"/>
        <v>316048604.33499908</v>
      </c>
      <c r="H611" s="26" t="s">
        <v>6190</v>
      </c>
    </row>
    <row r="612" spans="1:8">
      <c r="A612" s="27">
        <v>46147</v>
      </c>
      <c r="B612" s="28">
        <f t="shared" ref="B612" si="215">G611</f>
        <v>316048604.33499908</v>
      </c>
      <c r="C612" s="29">
        <v>-2288228.4200000004</v>
      </c>
      <c r="D612" s="29">
        <v>2955731.6</v>
      </c>
      <c r="E612" s="29">
        <v>3810008.33</v>
      </c>
      <c r="F612" s="29">
        <v>-85948804.700000003</v>
      </c>
      <c r="G612" s="30">
        <f t="shared" si="207"/>
        <v>234577311.14499909</v>
      </c>
      <c r="H612" s="26" t="s">
        <v>6199</v>
      </c>
    </row>
    <row r="613" spans="1:8">
      <c r="A613" s="27">
        <v>46148</v>
      </c>
      <c r="B613" s="28">
        <f t="shared" ref="B613:B614" si="216">G612</f>
        <v>234577311.14499909</v>
      </c>
      <c r="C613" s="29">
        <v>-1211310.9599999997</v>
      </c>
      <c r="D613" s="29">
        <v>94304.18</v>
      </c>
      <c r="E613" s="29">
        <v>5613545.0900000008</v>
      </c>
      <c r="F613" s="29">
        <v>-2589714.3000000003</v>
      </c>
      <c r="G613" s="30">
        <f t="shared" si="207"/>
        <v>236484135.15499908</v>
      </c>
      <c r="H613" s="26" t="s">
        <v>6211</v>
      </c>
    </row>
    <row r="614" spans="1:8">
      <c r="A614" s="27">
        <v>46149</v>
      </c>
      <c r="B614" s="28">
        <f t="shared" si="216"/>
        <v>236484135.15499908</v>
      </c>
      <c r="C614" s="29">
        <v>-1259820.23</v>
      </c>
      <c r="D614" s="29">
        <v>1350147.4</v>
      </c>
      <c r="E614" s="29">
        <v>766807.34</v>
      </c>
      <c r="F614" s="29">
        <v>-4883853.16</v>
      </c>
      <c r="G614" s="30">
        <f t="shared" si="207"/>
        <v>232457416.5049991</v>
      </c>
      <c r="H614" s="26" t="s">
        <v>6214</v>
      </c>
    </row>
    <row r="615" spans="1:8">
      <c r="A615" s="27">
        <v>46150</v>
      </c>
      <c r="B615" s="28">
        <f t="shared" ref="B615" si="217">G614</f>
        <v>232457416.5049991</v>
      </c>
      <c r="C615" s="29">
        <v>-3172348.5099999993</v>
      </c>
      <c r="D615" s="29">
        <v>1593949.25</v>
      </c>
      <c r="E615" s="29">
        <v>78921363.860000014</v>
      </c>
      <c r="F615" s="29">
        <v>-924728.53</v>
      </c>
      <c r="G615" s="30">
        <f t="shared" si="207"/>
        <v>308875652.57499915</v>
      </c>
      <c r="H615" s="26" t="s">
        <v>6217</v>
      </c>
    </row>
    <row r="616" spans="1:8">
      <c r="A616" s="27">
        <v>46151</v>
      </c>
      <c r="B616" s="28">
        <f t="shared" ref="B616:B618" si="218">G615</f>
        <v>308875652.57499915</v>
      </c>
      <c r="C616" s="29">
        <v>0</v>
      </c>
      <c r="D616" s="29">
        <v>0</v>
      </c>
      <c r="E616" s="29">
        <v>0</v>
      </c>
      <c r="F616" s="29">
        <v>0</v>
      </c>
      <c r="G616" s="30">
        <f t="shared" si="207"/>
        <v>308875652.57499915</v>
      </c>
    </row>
    <row r="617" spans="1:8">
      <c r="A617" s="27">
        <v>46152</v>
      </c>
      <c r="B617" s="28">
        <f t="shared" si="218"/>
        <v>308875652.57499915</v>
      </c>
      <c r="C617" s="29">
        <v>0</v>
      </c>
      <c r="D617" s="29">
        <v>0</v>
      </c>
      <c r="E617" s="29">
        <v>0</v>
      </c>
      <c r="F617" s="29">
        <v>0</v>
      </c>
      <c r="G617" s="30">
        <f t="shared" si="207"/>
        <v>308875652.57499915</v>
      </c>
    </row>
    <row r="618" spans="1:8">
      <c r="A618" s="27">
        <v>46153</v>
      </c>
      <c r="B618" s="28">
        <f t="shared" si="218"/>
        <v>308875652.57499915</v>
      </c>
      <c r="C618" s="29">
        <v>-2477994.169999999</v>
      </c>
      <c r="D618" s="29">
        <v>1208064.47</v>
      </c>
      <c r="E618" s="29">
        <v>53158089.719999991</v>
      </c>
      <c r="F618" s="29">
        <v>-123092.51000000001</v>
      </c>
      <c r="G618" s="30">
        <f t="shared" si="207"/>
        <v>360640720.08499914</v>
      </c>
      <c r="H618" s="26" t="s">
        <v>6225</v>
      </c>
    </row>
    <row r="619" spans="1:8">
      <c r="A619" s="27">
        <v>46154</v>
      </c>
      <c r="B619" s="28">
        <f t="shared" ref="B619" si="219">G618</f>
        <v>360640720.08499914</v>
      </c>
      <c r="C619" s="29">
        <v>-2717423.129999999</v>
      </c>
      <c r="D619" s="29">
        <v>4674187.3699999992</v>
      </c>
      <c r="E619" s="29">
        <v>1423883.43</v>
      </c>
      <c r="F619" s="29">
        <v>-352175.44</v>
      </c>
      <c r="G619" s="30">
        <f t="shared" si="207"/>
        <v>363669192.31499916</v>
      </c>
      <c r="H619" s="26" t="s">
        <v>6237</v>
      </c>
    </row>
    <row r="620" spans="1:8">
      <c r="A620" s="27">
        <v>46155</v>
      </c>
      <c r="B620" s="28">
        <f t="shared" ref="B620" si="220">G619</f>
        <v>363669192.31499916</v>
      </c>
      <c r="C620" s="29">
        <v>-4045097.9999999986</v>
      </c>
      <c r="D620" s="29">
        <v>5252979.4300000006</v>
      </c>
      <c r="E620" s="29">
        <v>1966459.62</v>
      </c>
      <c r="F620" s="29">
        <v>-442643.85</v>
      </c>
      <c r="G620" s="30">
        <f t="shared" si="207"/>
        <v>366400889.51499915</v>
      </c>
      <c r="H620" s="26" t="s">
        <v>6244</v>
      </c>
    </row>
    <row r="621" spans="1:8">
      <c r="A621" s="27">
        <v>46156</v>
      </c>
      <c r="B621" s="28">
        <f t="shared" ref="B621:B628" si="221">G620</f>
        <v>366400889.51499915</v>
      </c>
      <c r="C621" s="29">
        <v>-18792011.00999999</v>
      </c>
      <c r="D621" s="29">
        <v>1490949.6400000001</v>
      </c>
      <c r="E621" s="29">
        <v>47845.18</v>
      </c>
      <c r="F621" s="29">
        <v>-18974616.579999998</v>
      </c>
      <c r="G621" s="30">
        <f t="shared" si="207"/>
        <v>330173056.74499917</v>
      </c>
      <c r="H621" s="26" t="s">
        <v>6249</v>
      </c>
    </row>
    <row r="622" spans="1:8">
      <c r="A622" s="27">
        <v>46157</v>
      </c>
      <c r="B622" s="28">
        <f t="shared" si="221"/>
        <v>330173056.74499917</v>
      </c>
      <c r="C622" s="29">
        <v>-8170886.29</v>
      </c>
      <c r="D622" s="29">
        <v>989520.97</v>
      </c>
      <c r="E622" s="29">
        <v>10232022.67</v>
      </c>
      <c r="F622" s="29">
        <v>-78343136.980000004</v>
      </c>
      <c r="G622" s="30">
        <f t="shared" si="207"/>
        <v>254880577.11499918</v>
      </c>
      <c r="H622" s="26" t="s">
        <v>6256</v>
      </c>
    </row>
    <row r="623" spans="1:8">
      <c r="A623" s="27">
        <v>46158</v>
      </c>
      <c r="B623" s="28">
        <f t="shared" si="221"/>
        <v>254880577.11499918</v>
      </c>
      <c r="C623" s="29">
        <v>0</v>
      </c>
      <c r="D623" s="29">
        <v>0</v>
      </c>
      <c r="E623" s="29">
        <v>0</v>
      </c>
      <c r="F623" s="29">
        <v>0</v>
      </c>
      <c r="G623" s="30">
        <f t="shared" si="207"/>
        <v>254880577.11499918</v>
      </c>
    </row>
    <row r="624" spans="1:8">
      <c r="A624" s="27">
        <v>46159</v>
      </c>
      <c r="B624" s="28">
        <f t="shared" si="221"/>
        <v>254880577.11499918</v>
      </c>
      <c r="C624" s="29">
        <v>0</v>
      </c>
      <c r="D624" s="29">
        <v>0</v>
      </c>
      <c r="E624" s="29">
        <v>0</v>
      </c>
      <c r="F624" s="29">
        <v>0</v>
      </c>
      <c r="G624" s="30">
        <f t="shared" si="207"/>
        <v>254880577.11499918</v>
      </c>
    </row>
    <row r="625" spans="1:8">
      <c r="A625" s="27">
        <v>46160</v>
      </c>
      <c r="B625" s="28">
        <f t="shared" si="221"/>
        <v>254880577.11499918</v>
      </c>
      <c r="C625" s="29">
        <v>-6923183.5499999998</v>
      </c>
      <c r="D625" s="29">
        <v>1226551.8700000001</v>
      </c>
      <c r="E625" s="29">
        <v>375.82</v>
      </c>
      <c r="F625" s="29">
        <v>0</v>
      </c>
      <c r="G625" s="30">
        <f t="shared" si="207"/>
        <v>249184321.25499916</v>
      </c>
      <c r="H625" s="26" t="s">
        <v>6267</v>
      </c>
    </row>
    <row r="626" spans="1:8">
      <c r="A626" s="27">
        <v>46161</v>
      </c>
      <c r="B626" s="28">
        <f t="shared" si="221"/>
        <v>249184321.25499916</v>
      </c>
      <c r="C626" s="29">
        <v>-2017093.59</v>
      </c>
      <c r="D626" s="29">
        <v>2387012.11</v>
      </c>
      <c r="E626" s="29">
        <v>9115044.0800000001</v>
      </c>
      <c r="F626" s="29">
        <v>-46081747.950000003</v>
      </c>
      <c r="G626" s="30">
        <f t="shared" si="207"/>
        <v>212587535.9049992</v>
      </c>
      <c r="H626" s="26" t="s">
        <v>6274</v>
      </c>
    </row>
    <row r="627" spans="1:8">
      <c r="A627" s="27">
        <v>46162</v>
      </c>
      <c r="B627" s="28">
        <f t="shared" si="221"/>
        <v>212587535.9049992</v>
      </c>
      <c r="C627" s="29">
        <v>-3748140.4</v>
      </c>
      <c r="D627" s="29">
        <v>1742850.6</v>
      </c>
      <c r="E627" s="29">
        <v>21673322.02</v>
      </c>
      <c r="F627" s="29">
        <v>-31815505.579999998</v>
      </c>
      <c r="G627" s="30">
        <f t="shared" si="207"/>
        <v>200440062.54499918</v>
      </c>
      <c r="H627" s="26" t="s">
        <v>6290</v>
      </c>
    </row>
    <row r="628" spans="1:8">
      <c r="A628" s="27">
        <v>46163</v>
      </c>
      <c r="B628" s="28">
        <f t="shared" si="221"/>
        <v>200440062.54499918</v>
      </c>
      <c r="C628" s="29">
        <v>-6343029.7000000002</v>
      </c>
      <c r="D628" s="29">
        <v>5236771.0199999996</v>
      </c>
      <c r="E628" s="29">
        <v>19436544.609999999</v>
      </c>
      <c r="F628" s="29">
        <v>-2766778.46</v>
      </c>
      <c r="G628" s="30">
        <f t="shared" si="207"/>
        <v>216003570.01499918</v>
      </c>
      <c r="H628" s="26" t="s">
        <v>6318</v>
      </c>
    </row>
    <row r="629" spans="1:8">
      <c r="A629" s="27">
        <v>46164</v>
      </c>
      <c r="B629" s="28">
        <f t="shared" ref="B629" si="222">G628</f>
        <v>216003570.01499918</v>
      </c>
      <c r="C629" s="29">
        <v>-1411628.3500000006</v>
      </c>
      <c r="D629" s="29">
        <v>6508338.3699999992</v>
      </c>
      <c r="E629" s="29">
        <v>46046066.519999996</v>
      </c>
      <c r="F629" s="29">
        <v>-1950540.3199999998</v>
      </c>
      <c r="G629" s="30">
        <f t="shared" si="207"/>
        <v>265195806.23499918</v>
      </c>
      <c r="H629" s="26" t="s">
        <v>6338</v>
      </c>
    </row>
    <row r="630" spans="1:8">
      <c r="A630" s="27">
        <v>46165</v>
      </c>
      <c r="B630" s="28">
        <f t="shared" ref="B630:B632" si="223">G629</f>
        <v>265195806.23499918</v>
      </c>
      <c r="C630" s="29">
        <v>0</v>
      </c>
      <c r="D630" s="29">
        <v>0</v>
      </c>
      <c r="E630" s="29">
        <v>0</v>
      </c>
      <c r="F630" s="29">
        <v>0</v>
      </c>
      <c r="G630" s="30">
        <f t="shared" si="207"/>
        <v>265195806.23499918</v>
      </c>
    </row>
    <row r="631" spans="1:8">
      <c r="A631" s="27">
        <v>46166</v>
      </c>
      <c r="B631" s="28">
        <f t="shared" si="223"/>
        <v>265195806.23499918</v>
      </c>
      <c r="C631" s="29">
        <v>0</v>
      </c>
      <c r="D631" s="29">
        <v>0</v>
      </c>
      <c r="E631" s="29">
        <v>0</v>
      </c>
      <c r="F631" s="29">
        <v>0</v>
      </c>
      <c r="G631" s="30">
        <f t="shared" si="207"/>
        <v>265195806.23499918</v>
      </c>
    </row>
    <row r="632" spans="1:8">
      <c r="A632" s="27">
        <v>46167</v>
      </c>
      <c r="B632" s="28">
        <f t="shared" si="223"/>
        <v>265195806.23499918</v>
      </c>
      <c r="C632" s="29">
        <v>-39063.269999999997</v>
      </c>
      <c r="D632" s="29">
        <v>0</v>
      </c>
      <c r="E632" s="29">
        <v>0</v>
      </c>
      <c r="F632" s="29">
        <v>0</v>
      </c>
      <c r="G632" s="30">
        <f t="shared" si="207"/>
        <v>265156742.96499917</v>
      </c>
    </row>
    <row r="633" spans="1:8">
      <c r="A633" s="27">
        <v>46168</v>
      </c>
      <c r="B633" s="28">
        <f t="shared" ref="B633" si="224">G632</f>
        <v>265156742.96499917</v>
      </c>
      <c r="C633" s="29">
        <v>-3800159.82</v>
      </c>
      <c r="D633" s="29">
        <v>1946601.1</v>
      </c>
      <c r="E633" s="29">
        <v>1008183.3899999999</v>
      </c>
      <c r="F633" s="29">
        <v>-1100031.19</v>
      </c>
      <c r="G633" s="30">
        <f t="shared" si="207"/>
        <v>263211336.44499916</v>
      </c>
    </row>
    <row r="634" spans="1:8">
      <c r="A634" s="27">
        <v>46169</v>
      </c>
      <c r="B634" s="28">
        <f t="shared" ref="B634" si="225">G633</f>
        <v>263211336.44499916</v>
      </c>
      <c r="C634" s="29">
        <v>-2998141.6900000009</v>
      </c>
      <c r="D634" s="29">
        <v>48652086.06000001</v>
      </c>
      <c r="E634" s="29">
        <v>4169261.3899999983</v>
      </c>
      <c r="F634" s="29">
        <v>-901847.07</v>
      </c>
      <c r="G634" s="30">
        <f t="shared" si="207"/>
        <v>312132695.13499916</v>
      </c>
      <c r="H634" s="26" t="s">
        <v>6354</v>
      </c>
    </row>
    <row r="635" spans="1:8">
      <c r="A635" s="27">
        <v>46170</v>
      </c>
      <c r="B635" s="28">
        <f t="shared" ref="B635:B642" si="226">G634</f>
        <v>312132695.13499916</v>
      </c>
      <c r="C635" s="29">
        <v>-5007355.9200000027</v>
      </c>
      <c r="D635" s="29">
        <v>-180642039.31000003</v>
      </c>
      <c r="E635" s="29">
        <v>120768568.58</v>
      </c>
      <c r="F635" s="29">
        <v>-343020.45999999996</v>
      </c>
      <c r="G635" s="30">
        <f t="shared" si="207"/>
        <v>246908848.02499911</v>
      </c>
      <c r="H635" s="26" t="s">
        <v>6363</v>
      </c>
    </row>
    <row r="636" spans="1:8">
      <c r="A636" s="27">
        <v>46171</v>
      </c>
      <c r="B636" s="28">
        <f t="shared" si="226"/>
        <v>246908848.02499911</v>
      </c>
      <c r="C636" s="29">
        <v>-6766853.4100000001</v>
      </c>
      <c r="D636" s="29">
        <v>7273317.6600000001</v>
      </c>
      <c r="E636" s="29">
        <v>52790518.579999998</v>
      </c>
      <c r="F636" s="29">
        <v>-27087225.41</v>
      </c>
      <c r="G636" s="30">
        <f t="shared" si="207"/>
        <v>273118605.4449991</v>
      </c>
      <c r="H636" s="26" t="s">
        <v>6378</v>
      </c>
    </row>
    <row r="637" spans="1:8">
      <c r="A637" s="27">
        <v>46172</v>
      </c>
      <c r="B637" s="28">
        <f t="shared" si="226"/>
        <v>273118605.4449991</v>
      </c>
      <c r="C637" s="29">
        <v>0</v>
      </c>
      <c r="D637" s="29">
        <v>0</v>
      </c>
      <c r="E637" s="29">
        <v>0</v>
      </c>
      <c r="F637" s="29">
        <v>0</v>
      </c>
      <c r="G637" s="30">
        <f t="shared" si="207"/>
        <v>273118605.4449991</v>
      </c>
    </row>
    <row r="638" spans="1:8">
      <c r="A638" s="27">
        <v>46173</v>
      </c>
      <c r="B638" s="28">
        <f t="shared" si="226"/>
        <v>273118605.4449991</v>
      </c>
      <c r="C638" s="29">
        <v>0</v>
      </c>
      <c r="D638" s="29">
        <v>0</v>
      </c>
      <c r="E638" s="29">
        <v>0</v>
      </c>
      <c r="F638" s="29">
        <v>0</v>
      </c>
      <c r="G638" s="30">
        <f t="shared" si="207"/>
        <v>273118605.4449991</v>
      </c>
    </row>
    <row r="639" spans="1:8">
      <c r="A639" s="27">
        <v>46174</v>
      </c>
      <c r="B639" s="28">
        <f t="shared" si="226"/>
        <v>273118605.4449991</v>
      </c>
      <c r="C639" s="29">
        <v>-3909891.35</v>
      </c>
      <c r="D639" s="29">
        <v>1011271.7</v>
      </c>
      <c r="E639" s="29">
        <v>0</v>
      </c>
      <c r="F639" s="29">
        <v>0</v>
      </c>
      <c r="G639" s="30">
        <f t="shared" si="207"/>
        <v>270219985.79499906</v>
      </c>
      <c r="H639" s="26" t="s">
        <v>6419</v>
      </c>
    </row>
    <row r="640" spans="1:8">
      <c r="A640" s="27">
        <v>46175</v>
      </c>
      <c r="B640" s="28">
        <f t="shared" si="226"/>
        <v>270219985.79499906</v>
      </c>
      <c r="C640" s="29">
        <v>-1626083.11</v>
      </c>
      <c r="D640" s="29">
        <v>26609251.940000001</v>
      </c>
      <c r="E640" s="29">
        <v>11989578.27</v>
      </c>
      <c r="F640" s="29">
        <v>-1602301.21</v>
      </c>
      <c r="G640" s="30">
        <f t="shared" si="207"/>
        <v>305590431.68499905</v>
      </c>
      <c r="H640" s="26" t="s">
        <v>6420</v>
      </c>
    </row>
    <row r="641" spans="1:8">
      <c r="A641" s="27">
        <v>46176</v>
      </c>
      <c r="B641" s="28">
        <f t="shared" si="226"/>
        <v>305590431.68499905</v>
      </c>
      <c r="C641" s="29">
        <v>-2088394.02</v>
      </c>
      <c r="D641" s="29">
        <v>3221109.1</v>
      </c>
      <c r="E641" s="29">
        <v>178858960.81999999</v>
      </c>
      <c r="F641" s="29">
        <v>-6794035.3300000001</v>
      </c>
      <c r="G641" s="30">
        <f t="shared" si="207"/>
        <v>478788072.2549991</v>
      </c>
      <c r="H641" s="26" t="s">
        <v>6429</v>
      </c>
    </row>
    <row r="642" spans="1:8">
      <c r="A642" s="27">
        <v>46177</v>
      </c>
      <c r="B642" s="28">
        <f t="shared" si="226"/>
        <v>478788072.2549991</v>
      </c>
      <c r="C642" s="29">
        <v>-27722685.59</v>
      </c>
      <c r="D642" s="29">
        <v>1610382.61</v>
      </c>
      <c r="E642" s="29">
        <v>336204.18</v>
      </c>
      <c r="F642" s="29">
        <v>-1454567.4</v>
      </c>
      <c r="G642" s="30">
        <f t="shared" si="207"/>
        <v>451557406.05499917</v>
      </c>
      <c r="H642" s="26" t="s">
        <v>6442</v>
      </c>
    </row>
    <row r="643" spans="1:8">
      <c r="A643" s="27">
        <v>46178</v>
      </c>
      <c r="B643" s="28">
        <f t="shared" ref="B643" si="227">G642</f>
        <v>451557406.05499917</v>
      </c>
      <c r="C643" s="29">
        <v>-972845.8</v>
      </c>
      <c r="D643" s="29">
        <v>8015492.6699999999</v>
      </c>
      <c r="E643" s="29">
        <v>1820006.41</v>
      </c>
      <c r="F643" s="29">
        <v>-81792024.609999999</v>
      </c>
      <c r="G643" s="30">
        <f t="shared" si="207"/>
        <v>378628034.72499919</v>
      </c>
      <c r="H643" s="26" t="s">
        <v>6450</v>
      </c>
    </row>
    <row r="644" spans="1:8">
      <c r="A644" s="27">
        <v>46179</v>
      </c>
      <c r="B644" s="28">
        <f t="shared" ref="B644:B646" si="228">G643</f>
        <v>378628034.72499919</v>
      </c>
      <c r="C644" s="29">
        <v>0</v>
      </c>
      <c r="D644" s="29">
        <v>0</v>
      </c>
      <c r="E644" s="29">
        <v>0</v>
      </c>
      <c r="F644" s="29">
        <v>0</v>
      </c>
      <c r="G644" s="30">
        <f t="shared" si="207"/>
        <v>378628034.72499919</v>
      </c>
    </row>
    <row r="645" spans="1:8">
      <c r="A645" s="27">
        <v>46180</v>
      </c>
      <c r="B645" s="28">
        <f t="shared" si="228"/>
        <v>378628034.72499919</v>
      </c>
      <c r="C645" s="29">
        <v>0</v>
      </c>
      <c r="D645" s="29">
        <v>0</v>
      </c>
      <c r="E645" s="29">
        <v>0</v>
      </c>
      <c r="F645" s="29">
        <v>0</v>
      </c>
      <c r="G645" s="30">
        <f t="shared" si="207"/>
        <v>378628034.72499919</v>
      </c>
    </row>
    <row r="646" spans="1:8">
      <c r="A646" s="27">
        <v>46181</v>
      </c>
      <c r="B646" s="28">
        <f t="shared" si="228"/>
        <v>378628034.72499919</v>
      </c>
      <c r="C646" s="29">
        <v>-3050586.59</v>
      </c>
      <c r="D646" s="29">
        <v>1940329.74</v>
      </c>
      <c r="E646" s="29">
        <v>2205251.62</v>
      </c>
      <c r="F646" s="29">
        <v>-20391004.310000002</v>
      </c>
      <c r="G646" s="30">
        <f t="shared" si="207"/>
        <v>359332025.18499923</v>
      </c>
      <c r="H646" s="26" t="s">
        <v>6462</v>
      </c>
    </row>
    <row r="647" spans="1:8">
      <c r="A647" s="27">
        <v>46182</v>
      </c>
      <c r="B647" s="28">
        <f t="shared" ref="B647" si="229">G646</f>
        <v>359332025.18499923</v>
      </c>
      <c r="C647" s="29">
        <v>-7889048.0199999986</v>
      </c>
      <c r="D647" s="29">
        <v>2062978.6</v>
      </c>
      <c r="E647" s="29">
        <v>21529818.009999998</v>
      </c>
      <c r="F647" s="29">
        <v>-55654703.119999997</v>
      </c>
      <c r="G647" s="30">
        <f t="shared" si="207"/>
        <v>319381070.65499926</v>
      </c>
      <c r="H647" s="26" t="s">
        <v>6473</v>
      </c>
    </row>
    <row r="648" spans="1:8">
      <c r="A648" s="27">
        <v>46183</v>
      </c>
      <c r="B648" s="28">
        <f t="shared" ref="B648:B657" si="230">G647</f>
        <v>319381070.65499926</v>
      </c>
      <c r="C648" s="29">
        <v>-3615969.0100000002</v>
      </c>
      <c r="D648" s="29">
        <v>1928119.0799999998</v>
      </c>
      <c r="E648" s="29">
        <v>21892741.66</v>
      </c>
      <c r="F648" s="29">
        <v>-6612849.0999999996</v>
      </c>
      <c r="G648" s="30">
        <f t="shared" si="207"/>
        <v>332973113.28499925</v>
      </c>
      <c r="H648" s="26" t="s">
        <v>6504</v>
      </c>
    </row>
    <row r="649" spans="1:8">
      <c r="A649" s="27">
        <v>46184</v>
      </c>
      <c r="B649" s="28">
        <f t="shared" si="230"/>
        <v>332973113.28499925</v>
      </c>
      <c r="C649" s="29">
        <v>-75665681.840000004</v>
      </c>
      <c r="D649" s="29">
        <v>3404914.28</v>
      </c>
      <c r="E649" s="29">
        <v>748488.42</v>
      </c>
      <c r="F649" s="29">
        <v>-1852963.94</v>
      </c>
      <c r="G649" s="30">
        <f t="shared" si="207"/>
        <v>259607870.20499924</v>
      </c>
      <c r="H649" s="26" t="s">
        <v>6515</v>
      </c>
    </row>
    <row r="650" spans="1:8">
      <c r="A650" s="27">
        <v>46185</v>
      </c>
      <c r="B650" s="28">
        <f t="shared" si="230"/>
        <v>259607870.20499924</v>
      </c>
      <c r="C650" s="29">
        <v>-2328130.4900000002</v>
      </c>
      <c r="D650" s="29">
        <v>4404366.8499999996</v>
      </c>
      <c r="E650" s="29">
        <v>6020060.2400000002</v>
      </c>
      <c r="F650" s="29">
        <v>-21871406.34</v>
      </c>
      <c r="G650" s="30">
        <f t="shared" si="207"/>
        <v>245832760.46499923</v>
      </c>
      <c r="H650" s="26" t="s">
        <v>6523</v>
      </c>
    </row>
    <row r="651" spans="1:8">
      <c r="A651" s="27">
        <v>46186</v>
      </c>
      <c r="B651" s="28">
        <f t="shared" si="230"/>
        <v>245832760.46499923</v>
      </c>
      <c r="C651" s="29">
        <v>0</v>
      </c>
      <c r="D651" s="29">
        <v>0</v>
      </c>
      <c r="E651" s="29">
        <v>0</v>
      </c>
      <c r="F651" s="29">
        <v>0</v>
      </c>
      <c r="G651" s="30">
        <f t="shared" si="207"/>
        <v>245832760.46499923</v>
      </c>
    </row>
    <row r="652" spans="1:8">
      <c r="A652" s="27">
        <v>46187</v>
      </c>
      <c r="B652" s="28">
        <f t="shared" si="230"/>
        <v>245832760.46499923</v>
      </c>
      <c r="C652" s="29">
        <v>0</v>
      </c>
      <c r="D652" s="29">
        <v>0</v>
      </c>
      <c r="E652" s="29">
        <v>0</v>
      </c>
      <c r="F652" s="29">
        <v>0</v>
      </c>
      <c r="G652" s="30">
        <f t="shared" si="207"/>
        <v>245832760.46499923</v>
      </c>
    </row>
    <row r="653" spans="1:8">
      <c r="A653" s="27">
        <v>46188</v>
      </c>
      <c r="B653" s="28">
        <f t="shared" si="230"/>
        <v>245832760.46499923</v>
      </c>
      <c r="C653" s="29">
        <v>-6596451.2300000004</v>
      </c>
      <c r="D653" s="29">
        <v>345142.44</v>
      </c>
      <c r="E653" s="29">
        <v>16878.580000000002</v>
      </c>
      <c r="F653" s="29">
        <v>-4.5</v>
      </c>
      <c r="G653" s="30">
        <f t="shared" si="207"/>
        <v>239598325.75499925</v>
      </c>
      <c r="H653" s="26" t="s">
        <v>6536</v>
      </c>
    </row>
    <row r="654" spans="1:8">
      <c r="A654" s="27">
        <v>46189</v>
      </c>
      <c r="B654" s="28">
        <f t="shared" si="230"/>
        <v>239598325.75499925</v>
      </c>
      <c r="C654" s="29">
        <v>-9553867.0600000005</v>
      </c>
      <c r="D654" s="29">
        <v>6842511.1299999999</v>
      </c>
      <c r="E654" s="29">
        <v>209569041.12</v>
      </c>
      <c r="F654" s="29">
        <v>-86804482.799999997</v>
      </c>
      <c r="G654" s="30">
        <f t="shared" si="207"/>
        <v>359651528.14499921</v>
      </c>
      <c r="H654" s="26" t="s">
        <v>6541</v>
      </c>
    </row>
    <row r="655" spans="1:8">
      <c r="A655" s="27">
        <v>46190</v>
      </c>
      <c r="B655" s="28">
        <f t="shared" si="230"/>
        <v>359651528.14499921</v>
      </c>
      <c r="C655" s="29">
        <v>-3598806.39</v>
      </c>
      <c r="D655" s="29">
        <v>3375103.97</v>
      </c>
      <c r="E655" s="29">
        <v>32022873.949999999</v>
      </c>
      <c r="F655" s="29">
        <v>-765454.03</v>
      </c>
      <c r="G655" s="30">
        <f t="shared" si="207"/>
        <v>390685245.64499927</v>
      </c>
      <c r="H655" s="26" t="s">
        <v>6569</v>
      </c>
    </row>
    <row r="656" spans="1:8">
      <c r="A656" s="27">
        <v>46191</v>
      </c>
      <c r="B656" s="28">
        <f t="shared" si="230"/>
        <v>390685245.64499927</v>
      </c>
      <c r="C656" s="29">
        <v>-4298621.72</v>
      </c>
      <c r="D656" s="29">
        <v>2382445.84</v>
      </c>
      <c r="E656" s="29">
        <v>858069.01</v>
      </c>
      <c r="F656" s="29">
        <v>-2952997.15</v>
      </c>
      <c r="G656" s="30">
        <f t="shared" si="207"/>
        <v>386674141.62499923</v>
      </c>
    </row>
    <row r="657" spans="1:13">
      <c r="A657" s="27">
        <v>46192</v>
      </c>
      <c r="B657" s="28">
        <f t="shared" si="230"/>
        <v>386674141.62499923</v>
      </c>
      <c r="C657" s="29">
        <v>-6812468.5</v>
      </c>
      <c r="D657" s="29">
        <v>22206391</v>
      </c>
      <c r="E657" s="29">
        <v>952764.55999999994</v>
      </c>
      <c r="F657" s="29">
        <v>-3199076.8899999997</v>
      </c>
      <c r="G657" s="30">
        <f t="shared" si="207"/>
        <v>399821751.79499924</v>
      </c>
      <c r="H657" s="26" t="s">
        <v>6577</v>
      </c>
    </row>
    <row r="658" spans="1:13">
      <c r="A658" s="27">
        <v>46193</v>
      </c>
      <c r="B658" s="28">
        <f t="shared" ref="B658:B660" si="231">G657</f>
        <v>399821751.79499924</v>
      </c>
      <c r="C658" s="29">
        <v>0</v>
      </c>
      <c r="D658" s="29">
        <v>0</v>
      </c>
      <c r="E658" s="29">
        <v>0</v>
      </c>
      <c r="F658" s="29">
        <v>0</v>
      </c>
      <c r="G658" s="30">
        <f t="shared" si="207"/>
        <v>399821751.79499924</v>
      </c>
    </row>
    <row r="659" spans="1:13">
      <c r="A659" s="27">
        <v>46194</v>
      </c>
      <c r="B659" s="28">
        <f t="shared" si="231"/>
        <v>399821751.79499924</v>
      </c>
      <c r="C659" s="29">
        <v>0</v>
      </c>
      <c r="D659" s="29">
        <v>0</v>
      </c>
      <c r="E659" s="29">
        <v>0</v>
      </c>
      <c r="F659" s="29">
        <v>0</v>
      </c>
      <c r="G659" s="30">
        <f t="shared" ref="G659:G695" si="232">SUM(B659:F659)</f>
        <v>399821751.79499924</v>
      </c>
    </row>
    <row r="660" spans="1:13">
      <c r="A660" s="27">
        <v>46195</v>
      </c>
      <c r="B660" s="28">
        <f t="shared" si="231"/>
        <v>399821751.79499924</v>
      </c>
      <c r="C660" s="29">
        <v>0</v>
      </c>
      <c r="D660" s="29">
        <v>0</v>
      </c>
      <c r="E660" s="29">
        <v>0</v>
      </c>
      <c r="F660" s="29">
        <v>0</v>
      </c>
      <c r="G660" s="30">
        <f t="shared" si="232"/>
        <v>399821751.79499924</v>
      </c>
    </row>
    <row r="661" spans="1:13">
      <c r="A661" s="27">
        <v>46196</v>
      </c>
      <c r="B661" s="28">
        <f t="shared" ref="B661" si="233">G660</f>
        <v>399821751.79499924</v>
      </c>
      <c r="C661" s="29">
        <v>-8167061.7900000028</v>
      </c>
      <c r="D661" s="29">
        <v>3697266.7800000003</v>
      </c>
      <c r="E661" s="29">
        <v>387609.82</v>
      </c>
      <c r="F661" s="29">
        <v>0</v>
      </c>
      <c r="G661" s="30">
        <f t="shared" si="232"/>
        <v>395739566.60499918</v>
      </c>
      <c r="H661" s="26" t="s">
        <v>6596</v>
      </c>
    </row>
    <row r="662" spans="1:13">
      <c r="A662" s="27">
        <v>46197</v>
      </c>
      <c r="B662" s="28">
        <f t="shared" ref="B662" si="234">G661</f>
        <v>395739566.60499918</v>
      </c>
      <c r="C662" s="29">
        <v>-3160848.3099999996</v>
      </c>
      <c r="D662" s="29">
        <v>7714630.0499999998</v>
      </c>
      <c r="E662" s="29">
        <v>656721.28</v>
      </c>
      <c r="F662" s="29">
        <v>-38162989.950000003</v>
      </c>
      <c r="G662" s="30">
        <f t="shared" si="232"/>
        <v>362787079.67499918</v>
      </c>
      <c r="H662" s="26" t="s">
        <v>6602</v>
      </c>
    </row>
    <row r="663" spans="1:13">
      <c r="A663" s="27">
        <v>46198</v>
      </c>
      <c r="B663" s="28">
        <f t="shared" ref="B663:B684" si="235">G662</f>
        <v>362787079.67499918</v>
      </c>
      <c r="C663" s="29">
        <v>-5148845.8600000003</v>
      </c>
      <c r="D663" s="29">
        <v>14209415.07</v>
      </c>
      <c r="E663" s="29">
        <v>29523837.889999993</v>
      </c>
      <c r="F663" s="29">
        <v>-2900595.28</v>
      </c>
      <c r="G663" s="30">
        <f t="shared" si="232"/>
        <v>398470891.49499917</v>
      </c>
      <c r="H663" s="26" t="s">
        <v>6609</v>
      </c>
    </row>
    <row r="664" spans="1:13">
      <c r="A664" s="27">
        <v>46199</v>
      </c>
      <c r="B664" s="28">
        <f t="shared" si="235"/>
        <v>398470891.49499917</v>
      </c>
      <c r="C664" s="29">
        <v>-4940855.92</v>
      </c>
      <c r="D664" s="29">
        <v>20612599.009999998</v>
      </c>
      <c r="E664" s="29">
        <v>23004975.050000001</v>
      </c>
      <c r="F664" s="29">
        <v>-4866059.8</v>
      </c>
      <c r="G664" s="30">
        <f t="shared" si="232"/>
        <v>432281549.83499914</v>
      </c>
      <c r="H664" s="26" t="s">
        <v>6623</v>
      </c>
    </row>
    <row r="665" spans="1:13">
      <c r="A665" s="27">
        <v>46200</v>
      </c>
      <c r="B665" s="28">
        <f t="shared" si="235"/>
        <v>432281549.83499914</v>
      </c>
      <c r="C665" s="29">
        <v>0</v>
      </c>
      <c r="D665" s="29">
        <v>0</v>
      </c>
      <c r="E665" s="29">
        <v>0</v>
      </c>
      <c r="F665" s="29">
        <v>0</v>
      </c>
      <c r="G665" s="30">
        <f t="shared" si="232"/>
        <v>432281549.83499914</v>
      </c>
    </row>
    <row r="666" spans="1:13">
      <c r="A666" s="27">
        <v>46201</v>
      </c>
      <c r="B666" s="28">
        <f t="shared" si="235"/>
        <v>432281549.83499914</v>
      </c>
      <c r="C666" s="29">
        <v>0</v>
      </c>
      <c r="D666" s="29">
        <v>0</v>
      </c>
      <c r="E666" s="29">
        <v>0</v>
      </c>
      <c r="F666" s="29">
        <v>0</v>
      </c>
      <c r="G666" s="30">
        <f t="shared" si="232"/>
        <v>432281549.83499914</v>
      </c>
    </row>
    <row r="667" spans="1:13">
      <c r="A667" s="27">
        <v>46202</v>
      </c>
      <c r="B667" s="28">
        <f t="shared" si="235"/>
        <v>432281549.83499914</v>
      </c>
      <c r="C667" s="29">
        <v>-4235041.16</v>
      </c>
      <c r="D667" s="29">
        <v>913775.46</v>
      </c>
      <c r="E667" s="29">
        <v>174783.42</v>
      </c>
      <c r="F667" s="29">
        <v>0</v>
      </c>
      <c r="G667" s="30">
        <f t="shared" si="232"/>
        <v>429135067.55499911</v>
      </c>
      <c r="H667" s="26" t="s">
        <v>6640</v>
      </c>
    </row>
    <row r="668" spans="1:13">
      <c r="A668" s="27">
        <v>46203</v>
      </c>
      <c r="B668" s="28">
        <f t="shared" si="235"/>
        <v>429135067.55499911</v>
      </c>
      <c r="C668" s="29">
        <v>-22741.08</v>
      </c>
      <c r="D668" s="29">
        <v>10803595.470000001</v>
      </c>
      <c r="E668" s="29">
        <v>936279</v>
      </c>
      <c r="F668" s="29">
        <v>-10080298.880000001</v>
      </c>
      <c r="G668" s="30">
        <f t="shared" si="232"/>
        <v>430771902.06499916</v>
      </c>
      <c r="H668" s="26" t="s">
        <v>6643</v>
      </c>
    </row>
    <row r="669" spans="1:13">
      <c r="A669" s="27">
        <v>46204</v>
      </c>
      <c r="B669" s="28">
        <f t="shared" si="235"/>
        <v>430771902.06499916</v>
      </c>
      <c r="C669" s="29">
        <v>-19153.2</v>
      </c>
      <c r="D669" s="29">
        <v>9961228.3000000007</v>
      </c>
      <c r="E669" s="29">
        <v>131803103.51000001</v>
      </c>
      <c r="F669" s="29">
        <v>-16422823.34</v>
      </c>
      <c r="G669" s="30">
        <f t="shared" si="232"/>
        <v>556094257.3349992</v>
      </c>
      <c r="H669" s="26" t="s">
        <v>6656</v>
      </c>
    </row>
    <row r="670" spans="1:13">
      <c r="A670" s="27">
        <v>46205</v>
      </c>
      <c r="B670" s="28">
        <f t="shared" si="235"/>
        <v>556094257.3349992</v>
      </c>
      <c r="C670" s="29">
        <v>-677212.65</v>
      </c>
      <c r="D670" s="29">
        <v>62404319.68</v>
      </c>
      <c r="E670" s="29">
        <v>167632.31</v>
      </c>
      <c r="F670" s="29">
        <v>-1702219.87</v>
      </c>
      <c r="G670" s="30">
        <f t="shared" si="232"/>
        <v>616286776.80499911</v>
      </c>
      <c r="H670" s="26" t="s">
        <v>6688</v>
      </c>
    </row>
    <row r="671" spans="1:13">
      <c r="A671" s="27">
        <v>46206</v>
      </c>
      <c r="B671" s="28">
        <f t="shared" si="235"/>
        <v>616286776.80499911</v>
      </c>
      <c r="C671" s="29">
        <v>0</v>
      </c>
      <c r="D671" s="29">
        <v>0</v>
      </c>
      <c r="E671" s="29">
        <v>0</v>
      </c>
      <c r="F671" s="29">
        <v>0</v>
      </c>
      <c r="G671" s="30">
        <f t="shared" si="232"/>
        <v>616286776.80499911</v>
      </c>
      <c r="M671" s="29"/>
    </row>
    <row r="672" spans="1:13">
      <c r="A672" s="27">
        <v>46207</v>
      </c>
      <c r="B672" s="28">
        <f t="shared" si="235"/>
        <v>616286776.80499911</v>
      </c>
      <c r="C672" s="29">
        <v>0</v>
      </c>
      <c r="D672" s="29">
        <v>0</v>
      </c>
      <c r="E672" s="29">
        <v>0</v>
      </c>
      <c r="F672" s="29">
        <v>0</v>
      </c>
      <c r="G672" s="30">
        <f t="shared" si="232"/>
        <v>616286776.80499911</v>
      </c>
    </row>
    <row r="673" spans="1:14">
      <c r="A673" s="27">
        <v>46208</v>
      </c>
      <c r="B673" s="28">
        <f t="shared" si="235"/>
        <v>616286776.80499911</v>
      </c>
      <c r="C673" s="29">
        <v>0</v>
      </c>
      <c r="D673" s="29">
        <v>0</v>
      </c>
      <c r="E673" s="29">
        <v>0</v>
      </c>
      <c r="F673" s="29">
        <v>0</v>
      </c>
      <c r="G673" s="30">
        <f t="shared" si="232"/>
        <v>616286776.80499911</v>
      </c>
    </row>
    <row r="674" spans="1:14">
      <c r="A674" s="27">
        <v>46209</v>
      </c>
      <c r="B674" s="28">
        <f t="shared" si="235"/>
        <v>616286776.80499911</v>
      </c>
      <c r="C674" s="29">
        <v>-860814.23</v>
      </c>
      <c r="D674" s="29">
        <v>22129673.879999999</v>
      </c>
      <c r="E674" s="29">
        <v>11914391.24</v>
      </c>
      <c r="F674" s="29">
        <v>-158731971.53</v>
      </c>
      <c r="G674" s="30">
        <f t="shared" si="232"/>
        <v>490738056.16499913</v>
      </c>
      <c r="H674" s="26" t="s">
        <v>6708</v>
      </c>
      <c r="J674" s="437"/>
      <c r="L674" s="29"/>
    </row>
    <row r="675" spans="1:14">
      <c r="A675" s="27">
        <v>46210</v>
      </c>
      <c r="B675" s="28">
        <f t="shared" si="235"/>
        <v>490738056.16499913</v>
      </c>
      <c r="C675" s="29">
        <v>-1963166.97</v>
      </c>
      <c r="D675" s="29">
        <v>22043.39</v>
      </c>
      <c r="E675" s="29">
        <v>1536007.09</v>
      </c>
      <c r="F675" s="29">
        <v>-28249255.359999999</v>
      </c>
      <c r="G675" s="30">
        <f t="shared" si="232"/>
        <v>462083684.31499904</v>
      </c>
      <c r="H675" s="26" t="s">
        <v>6724</v>
      </c>
    </row>
    <row r="676" spans="1:14">
      <c r="A676" s="27">
        <v>46211</v>
      </c>
      <c r="B676" s="28">
        <f t="shared" si="235"/>
        <v>462083684.31499904</v>
      </c>
      <c r="C676" s="29">
        <v>-2933002.89</v>
      </c>
      <c r="D676" s="29">
        <v>180720944.52000001</v>
      </c>
      <c r="E676" s="29">
        <v>1321431.8999999999</v>
      </c>
      <c r="F676" s="29">
        <v>-165139.22</v>
      </c>
      <c r="G676" s="30">
        <f t="shared" si="232"/>
        <v>641027918.62499905</v>
      </c>
      <c r="H676" s="26" t="s">
        <v>6729</v>
      </c>
    </row>
    <row r="677" spans="1:14">
      <c r="A677" s="27">
        <v>46212</v>
      </c>
      <c r="B677" s="28">
        <f t="shared" si="235"/>
        <v>641027918.62499905</v>
      </c>
      <c r="C677" s="29">
        <v>-1596339.5</v>
      </c>
      <c r="D677" s="29">
        <v>2013947.58</v>
      </c>
      <c r="E677" s="29">
        <v>6669251.0499999998</v>
      </c>
      <c r="F677" s="29">
        <v>-16357309.779999999</v>
      </c>
      <c r="G677" s="30">
        <f t="shared" si="232"/>
        <v>631757467.97499907</v>
      </c>
      <c r="H677" s="26" t="s">
        <v>6733</v>
      </c>
    </row>
    <row r="678" spans="1:14">
      <c r="A678" s="27">
        <v>46213</v>
      </c>
      <c r="B678" s="28">
        <f t="shared" si="235"/>
        <v>631757467.97499907</v>
      </c>
      <c r="C678" s="29">
        <v>-2899947.03</v>
      </c>
      <c r="D678" s="29">
        <v>10179454.449999999</v>
      </c>
      <c r="E678" s="29">
        <v>2009531.15</v>
      </c>
      <c r="F678" s="29">
        <v>-89998832.310000002</v>
      </c>
      <c r="G678" s="30">
        <f t="shared" si="232"/>
        <v>551047674.23499918</v>
      </c>
      <c r="H678" s="26" t="s">
        <v>6767</v>
      </c>
      <c r="L678" s="29"/>
    </row>
    <row r="679" spans="1:14">
      <c r="A679" s="27">
        <v>46214</v>
      </c>
      <c r="B679" s="28">
        <f t="shared" si="235"/>
        <v>551047674.23499918</v>
      </c>
      <c r="C679" s="29">
        <v>0</v>
      </c>
      <c r="D679" s="29">
        <v>0</v>
      </c>
      <c r="E679" s="29">
        <v>0</v>
      </c>
      <c r="F679" s="29">
        <v>0</v>
      </c>
      <c r="G679" s="30">
        <f t="shared" si="232"/>
        <v>551047674.23499918</v>
      </c>
    </row>
    <row r="680" spans="1:14">
      <c r="A680" s="27">
        <v>46215</v>
      </c>
      <c r="B680" s="28">
        <f t="shared" si="235"/>
        <v>551047674.23499918</v>
      </c>
      <c r="C680" s="29">
        <v>0</v>
      </c>
      <c r="D680" s="29">
        <v>0</v>
      </c>
      <c r="E680" s="29">
        <v>0</v>
      </c>
      <c r="F680" s="29">
        <v>0</v>
      </c>
      <c r="G680" s="30">
        <f t="shared" si="232"/>
        <v>551047674.23499918</v>
      </c>
      <c r="N680" s="29"/>
    </row>
    <row r="681" spans="1:14">
      <c r="A681" s="27">
        <v>46216</v>
      </c>
      <c r="B681" s="28">
        <f t="shared" si="235"/>
        <v>551047674.23499918</v>
      </c>
      <c r="C681" s="29">
        <v>-5653068.6100000003</v>
      </c>
      <c r="D681" s="29">
        <v>2138666.36</v>
      </c>
      <c r="E681" s="29">
        <v>0</v>
      </c>
      <c r="F681" s="29">
        <v>-121283.2</v>
      </c>
      <c r="G681" s="30">
        <f t="shared" si="232"/>
        <v>547411988.78499913</v>
      </c>
      <c r="H681" s="26" t="s">
        <v>6793</v>
      </c>
    </row>
    <row r="682" spans="1:14">
      <c r="A682" s="27">
        <v>46217</v>
      </c>
      <c r="B682" s="28">
        <f t="shared" si="235"/>
        <v>547411988.78499913</v>
      </c>
      <c r="C682" s="29">
        <v>-5517367.0199999996</v>
      </c>
      <c r="D682" s="29">
        <v>6805806.5899999999</v>
      </c>
      <c r="E682" s="29">
        <v>34534909.030000001</v>
      </c>
      <c r="F682" s="29">
        <v>-1616217.81</v>
      </c>
      <c r="G682" s="30">
        <f t="shared" si="232"/>
        <v>581619119.57499921</v>
      </c>
      <c r="H682" s="26" t="s">
        <v>6794</v>
      </c>
    </row>
    <row r="683" spans="1:14">
      <c r="A683" s="27">
        <v>46218</v>
      </c>
      <c r="B683" s="28">
        <f t="shared" si="235"/>
        <v>581619119.57499921</v>
      </c>
      <c r="C683" s="29">
        <v>-4022354.47</v>
      </c>
      <c r="D683" s="29">
        <v>6322577.3799999999</v>
      </c>
      <c r="E683" s="29">
        <v>602731.77</v>
      </c>
      <c r="F683" s="29">
        <v>-1725397.64</v>
      </c>
      <c r="G683" s="30">
        <f t="shared" si="232"/>
        <v>582796676.61499918</v>
      </c>
      <c r="H683" s="26" t="s">
        <v>6795</v>
      </c>
    </row>
    <row r="684" spans="1:14">
      <c r="A684" s="27">
        <v>46219</v>
      </c>
      <c r="B684" s="28">
        <f t="shared" si="235"/>
        <v>582796676.61499918</v>
      </c>
      <c r="C684" s="29">
        <v>-8015370.4500000002</v>
      </c>
      <c r="D684" s="29">
        <v>7838651.7300000004</v>
      </c>
      <c r="E684" s="29">
        <v>179540171.5</v>
      </c>
      <c r="F684" s="29">
        <v>-180474899.72999999</v>
      </c>
      <c r="G684" s="30">
        <f t="shared" si="232"/>
        <v>581685229.66499913</v>
      </c>
      <c r="H684" s="26" t="s">
        <v>6798</v>
      </c>
    </row>
    <row r="685" spans="1:14">
      <c r="A685" s="27">
        <v>46220</v>
      </c>
      <c r="B685" s="28">
        <f t="shared" ref="B685:B695" si="236">G684</f>
        <v>581685229.66499913</v>
      </c>
      <c r="C685" s="29">
        <v>-5623808.2199999988</v>
      </c>
      <c r="D685" s="29">
        <v>5581445.8200000003</v>
      </c>
      <c r="E685" s="29">
        <v>5410471.4100000001</v>
      </c>
      <c r="F685" s="29">
        <v>-25837598.710000001</v>
      </c>
      <c r="G685" s="30">
        <f t="shared" si="232"/>
        <v>561215739.96499908</v>
      </c>
      <c r="H685" s="26" t="s">
        <v>6814</v>
      </c>
    </row>
    <row r="686" spans="1:14">
      <c r="A686" s="27">
        <v>46221</v>
      </c>
      <c r="B686" s="28">
        <f t="shared" si="236"/>
        <v>561215739.96499908</v>
      </c>
      <c r="C686" s="29">
        <v>0</v>
      </c>
      <c r="D686" s="29">
        <v>0</v>
      </c>
      <c r="E686" s="29">
        <v>0</v>
      </c>
      <c r="F686" s="29">
        <v>0</v>
      </c>
      <c r="G686" s="30">
        <f t="shared" si="232"/>
        <v>561215739.96499908</v>
      </c>
    </row>
    <row r="687" spans="1:14">
      <c r="A687" s="27">
        <v>46222</v>
      </c>
      <c r="B687" s="28">
        <f t="shared" si="236"/>
        <v>561215739.96499908</v>
      </c>
      <c r="C687" s="29">
        <v>0</v>
      </c>
      <c r="D687" s="29">
        <v>0</v>
      </c>
      <c r="E687" s="29">
        <v>0</v>
      </c>
      <c r="F687" s="29">
        <v>0</v>
      </c>
      <c r="G687" s="30">
        <f t="shared" si="232"/>
        <v>561215739.96499908</v>
      </c>
    </row>
    <row r="688" spans="1:14">
      <c r="A688" s="27">
        <v>46223</v>
      </c>
      <c r="B688" s="28">
        <f t="shared" si="236"/>
        <v>561215739.96499908</v>
      </c>
      <c r="C688" s="29">
        <v>-3982923.23</v>
      </c>
      <c r="D688" s="29">
        <v>1773436.37</v>
      </c>
      <c r="E688" s="29">
        <v>19116579.059999999</v>
      </c>
      <c r="F688" s="29">
        <v>-3510823.27</v>
      </c>
      <c r="G688" s="30">
        <f t="shared" si="232"/>
        <v>574612008.89499903</v>
      </c>
      <c r="H688" s="26" t="s">
        <v>6853</v>
      </c>
    </row>
    <row r="689" spans="1:8">
      <c r="A689" s="27">
        <v>46224</v>
      </c>
      <c r="B689" s="28">
        <f t="shared" si="236"/>
        <v>574612008.89499903</v>
      </c>
      <c r="C689" s="29">
        <v>-2632720.08</v>
      </c>
      <c r="D689" s="29">
        <v>103686.9</v>
      </c>
      <c r="E689" s="29">
        <v>843107.48</v>
      </c>
      <c r="F689" s="29">
        <v>-1136096.27</v>
      </c>
      <c r="G689" s="30">
        <f t="shared" si="232"/>
        <v>571789986.924999</v>
      </c>
    </row>
    <row r="690" spans="1:8">
      <c r="A690" s="27">
        <v>46225</v>
      </c>
      <c r="B690" s="28">
        <f t="shared" si="236"/>
        <v>571789986.924999</v>
      </c>
      <c r="C690" s="29">
        <v>-11164251.550000001</v>
      </c>
      <c r="D690" s="29">
        <v>2584998.7799999998</v>
      </c>
      <c r="E690" s="29">
        <v>12141317.83</v>
      </c>
      <c r="F690" s="29">
        <v>-1440734.01</v>
      </c>
      <c r="G690" s="30">
        <f t="shared" si="232"/>
        <v>573911317.97499907</v>
      </c>
      <c r="H690" s="26" t="s">
        <v>6880</v>
      </c>
    </row>
    <row r="691" spans="1:8">
      <c r="A691" s="27">
        <v>46226</v>
      </c>
      <c r="B691" s="28">
        <f t="shared" si="236"/>
        <v>573911317.97499907</v>
      </c>
      <c r="C691" s="29">
        <v>-3592839.94</v>
      </c>
      <c r="D691" s="29">
        <v>189834.43</v>
      </c>
      <c r="E691" s="29">
        <v>11876391.68</v>
      </c>
      <c r="F691" s="29">
        <v>-7944863.3399999999</v>
      </c>
      <c r="G691" s="30">
        <f t="shared" si="232"/>
        <v>574439840.80499887</v>
      </c>
      <c r="H691" s="26" t="s">
        <v>6892</v>
      </c>
    </row>
    <row r="692" spans="1:8">
      <c r="A692" s="27">
        <v>46227</v>
      </c>
      <c r="B692" s="28">
        <f t="shared" si="236"/>
        <v>574439840.80499887</v>
      </c>
      <c r="C692" s="29">
        <v>-1693271.42</v>
      </c>
      <c r="D692" s="29">
        <v>8630375.6999999993</v>
      </c>
      <c r="E692" s="29">
        <v>4164022</v>
      </c>
      <c r="F692" s="29">
        <v>-33952991.490000002</v>
      </c>
      <c r="G692" s="30">
        <f t="shared" si="232"/>
        <v>551587975.59499896</v>
      </c>
      <c r="H692" s="26" t="s">
        <v>6908</v>
      </c>
    </row>
    <row r="693" spans="1:8">
      <c r="A693" s="27">
        <v>46228</v>
      </c>
      <c r="B693" s="28">
        <f t="shared" si="236"/>
        <v>551587975.59499896</v>
      </c>
      <c r="C693" s="29">
        <v>0</v>
      </c>
      <c r="D693" s="29">
        <v>0</v>
      </c>
      <c r="E693" s="29">
        <v>0</v>
      </c>
      <c r="F693" s="29">
        <v>0</v>
      </c>
      <c r="G693" s="30">
        <f t="shared" si="232"/>
        <v>551587975.59499896</v>
      </c>
    </row>
    <row r="694" spans="1:8">
      <c r="A694" s="27">
        <v>46229</v>
      </c>
      <c r="B694" s="28">
        <f t="shared" si="236"/>
        <v>551587975.59499896</v>
      </c>
      <c r="C694" s="29">
        <v>0</v>
      </c>
      <c r="D694" s="29">
        <v>0</v>
      </c>
      <c r="E694" s="29">
        <v>0</v>
      </c>
      <c r="F694" s="29">
        <v>0</v>
      </c>
      <c r="G694" s="30">
        <f t="shared" si="232"/>
        <v>551587975.59499896</v>
      </c>
    </row>
    <row r="695" spans="1:8">
      <c r="A695" s="27">
        <v>46230</v>
      </c>
      <c r="B695" s="28">
        <f t="shared" si="236"/>
        <v>551587975.59499896</v>
      </c>
      <c r="C695" s="29">
        <v>-2966154.9</v>
      </c>
      <c r="D695" s="29">
        <v>1179433.29</v>
      </c>
      <c r="E695" s="29">
        <v>0</v>
      </c>
      <c r="F695" s="29">
        <v>0</v>
      </c>
      <c r="G695" s="30">
        <f t="shared" si="232"/>
        <v>549801253.98499894</v>
      </c>
    </row>
  </sheetData>
  <sheetProtection algorithmName="SHA-512" hashValue="NglKI54aqxenupVuPI1gvyXfJDORme6RQiNc4mAONXhe4pmzdW/+tHPZuiDyBS1QIQ23pDn6abplG1oIc5m4CQ==" saltValue="O6mhTkKlAdgdlW26Tcv8lQ==" spinCount="100000" sheet="1" formatCells="0" formatColumns="0" formatRows="0" insertColumns="0" insertRows="0" insertHyperlinks="0" deleteColumns="0" deleteRows="0" sort="0" autoFilter="0" pivotTables="0"/>
  <phoneticPr fontId="96" type="noConversion"/>
  <pageMargins left="0.7" right="0.7" top="0.75" bottom="0.75" header="0.3" footer="0.3"/>
  <pageSetup scale="4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C9172-6491-49D5-9D3A-58D5D36B4D78}">
  <sheetPr codeName="Sheet7"/>
  <dimension ref="A1:W4310"/>
  <sheetViews>
    <sheetView zoomScaleNormal="100" workbookViewId="0">
      <pane ySplit="1" topLeftCell="A4304" activePane="bottomLeft" state="frozen"/>
      <selection activeCell="D64" sqref="D64"/>
      <selection pane="bottomLeft" activeCell="J4322" sqref="J4322"/>
    </sheetView>
  </sheetViews>
  <sheetFormatPr defaultColWidth="9.140625" defaultRowHeight="12.75" customHeight="1" outlineLevelRow="2"/>
  <cols>
    <col min="1" max="1" width="6.5703125" style="383" bestFit="1" customWidth="1"/>
    <col min="2" max="2" width="5.85546875" style="377" hidden="1" customWidth="1"/>
    <col min="3" max="3" width="7.85546875" style="377" hidden="1" customWidth="1"/>
    <col min="4" max="4" width="6.5703125" style="377" hidden="1" customWidth="1"/>
    <col min="5" max="5" width="9.140625" style="377" hidden="1" customWidth="1"/>
    <col min="6" max="6" width="13.85546875" style="377" hidden="1" customWidth="1"/>
    <col min="7" max="7" width="11.5703125" style="379" hidden="1" customWidth="1"/>
    <col min="8" max="8" width="8.140625" style="377" hidden="1" customWidth="1"/>
    <col min="9" max="9" width="28.42578125" style="377" customWidth="1"/>
    <col min="10" max="10" width="17.85546875" style="411" customWidth="1"/>
    <col min="11" max="11" width="14" style="379" customWidth="1"/>
    <col min="12" max="12" width="51.140625" style="380" customWidth="1"/>
    <col min="13" max="13" width="17.140625" style="377" hidden="1" customWidth="1"/>
    <col min="14" max="14" width="14" style="377" hidden="1" customWidth="1"/>
    <col min="15" max="15" width="13.28515625" style="377" hidden="1" customWidth="1"/>
    <col min="16" max="16" width="12.85546875" style="381" hidden="1" customWidth="1"/>
    <col min="17" max="17" width="28.7109375" style="382" hidden="1" customWidth="1"/>
    <col min="18" max="18" width="31.28515625" style="382" hidden="1" customWidth="1"/>
    <col min="19" max="19" width="22.140625" style="382" hidden="1" customWidth="1"/>
    <col min="20" max="22" width="9.140625" style="377" customWidth="1"/>
    <col min="23" max="16384" width="9.140625" style="377"/>
  </cols>
  <sheetData>
    <row r="1" spans="1:19" ht="31.5" thickTop="1" thickBot="1">
      <c r="A1" s="370" t="s">
        <v>17</v>
      </c>
      <c r="B1" s="371" t="s">
        <v>18</v>
      </c>
      <c r="C1" s="372" t="s">
        <v>19</v>
      </c>
      <c r="D1" s="372" t="s">
        <v>20</v>
      </c>
      <c r="E1" s="372" t="s">
        <v>21</v>
      </c>
      <c r="F1" s="372" t="s">
        <v>22</v>
      </c>
      <c r="G1" s="373" t="s">
        <v>23</v>
      </c>
      <c r="H1" s="372" t="s">
        <v>24</v>
      </c>
      <c r="I1" s="374" t="s">
        <v>25</v>
      </c>
      <c r="J1" s="410" t="s">
        <v>26</v>
      </c>
      <c r="K1" s="373" t="s">
        <v>27</v>
      </c>
      <c r="L1" s="375" t="s">
        <v>28</v>
      </c>
      <c r="M1" s="376" t="s">
        <v>29</v>
      </c>
      <c r="N1" s="375" t="s">
        <v>354</v>
      </c>
      <c r="O1" s="375" t="s">
        <v>355</v>
      </c>
      <c r="P1" s="375" t="s">
        <v>2118</v>
      </c>
      <c r="Q1" s="375" t="s">
        <v>2119</v>
      </c>
      <c r="R1" s="375" t="s">
        <v>2120</v>
      </c>
      <c r="S1" s="375" t="s">
        <v>2121</v>
      </c>
    </row>
    <row r="2" spans="1:19" ht="12.75" customHeight="1" thickTop="1">
      <c r="A2" s="378" t="s">
        <v>535</v>
      </c>
    </row>
    <row r="3" spans="1:19" ht="45" hidden="1" outlineLevel="1">
      <c r="B3" s="384">
        <v>2024</v>
      </c>
      <c r="C3" s="384">
        <v>9</v>
      </c>
      <c r="D3" s="367" t="s">
        <v>5</v>
      </c>
      <c r="E3" s="367" t="s">
        <v>6</v>
      </c>
      <c r="F3" s="367" t="s">
        <v>537</v>
      </c>
      <c r="G3" s="385">
        <v>45362</v>
      </c>
      <c r="H3" s="367" t="s">
        <v>11</v>
      </c>
      <c r="I3" s="368" t="str">
        <f>VLOOKUP(H3,'[2]Source Codes'!A$2:B$115,2,FALSE)</f>
        <v>AR Payments</v>
      </c>
      <c r="J3" s="412">
        <v>1987813.25</v>
      </c>
      <c r="K3" s="385">
        <v>45365</v>
      </c>
      <c r="L3" s="387" t="s">
        <v>538</v>
      </c>
      <c r="M3" s="388">
        <v>45365.751712962963</v>
      </c>
      <c r="N3" s="368" t="s">
        <v>359</v>
      </c>
      <c r="O3" s="368" t="s">
        <v>392</v>
      </c>
    </row>
    <row r="4" spans="1:19" ht="12.75" customHeight="1" collapsed="1">
      <c r="J4" s="413">
        <f>SUM(J3)</f>
        <v>1987813.25</v>
      </c>
    </row>
    <row r="6" spans="1:19" ht="12.75" customHeight="1">
      <c r="A6" s="378" t="s">
        <v>536</v>
      </c>
    </row>
    <row r="7" spans="1:19" ht="30" hidden="1" outlineLevel="1">
      <c r="B7" s="384">
        <v>2024</v>
      </c>
      <c r="C7" s="384">
        <v>9</v>
      </c>
      <c r="D7" s="367" t="s">
        <v>5</v>
      </c>
      <c r="E7" s="367" t="s">
        <v>6</v>
      </c>
      <c r="F7" s="367" t="s">
        <v>539</v>
      </c>
      <c r="G7" s="385">
        <v>45364</v>
      </c>
      <c r="H7" s="367" t="s">
        <v>11</v>
      </c>
      <c r="I7" s="368" t="str">
        <f>VLOOKUP(H7,'[2]Source Codes'!A$2:B$115,2,FALSE)</f>
        <v>AR Payments</v>
      </c>
      <c r="J7" s="412">
        <v>2850757.45</v>
      </c>
      <c r="K7" s="385">
        <v>45366</v>
      </c>
      <c r="L7" s="387" t="s">
        <v>404</v>
      </c>
      <c r="M7" s="388">
        <v>45366.751851851855</v>
      </c>
      <c r="N7" s="368" t="s">
        <v>359</v>
      </c>
      <c r="O7" s="368" t="s">
        <v>392</v>
      </c>
    </row>
    <row r="8" spans="1:19" ht="45" hidden="1" outlineLevel="1">
      <c r="B8" s="384">
        <v>2024</v>
      </c>
      <c r="C8" s="384">
        <v>9</v>
      </c>
      <c r="D8" s="367" t="s">
        <v>5</v>
      </c>
      <c r="E8" s="367" t="s">
        <v>6</v>
      </c>
      <c r="F8" s="367" t="s">
        <v>540</v>
      </c>
      <c r="G8" s="385">
        <v>45365</v>
      </c>
      <c r="H8" s="367" t="s">
        <v>11</v>
      </c>
      <c r="I8" s="368" t="str">
        <f>VLOOKUP(H8,'[2]Source Codes'!A$2:B$115,2,FALSE)</f>
        <v>AR Payments</v>
      </c>
      <c r="J8" s="412">
        <v>2612480.16</v>
      </c>
      <c r="K8" s="385">
        <v>45366</v>
      </c>
      <c r="L8" s="387" t="s">
        <v>541</v>
      </c>
      <c r="M8" s="388">
        <v>45366.751851851855</v>
      </c>
      <c r="N8" s="368" t="s">
        <v>359</v>
      </c>
      <c r="O8" s="368" t="s">
        <v>392</v>
      </c>
    </row>
    <row r="9" spans="1:19" ht="12.75" customHeight="1" collapsed="1">
      <c r="J9" s="413">
        <f>SUM(J7:J8)</f>
        <v>5463237.6100000003</v>
      </c>
    </row>
    <row r="11" spans="1:19" ht="12.75" customHeight="1">
      <c r="A11" s="378" t="s">
        <v>542</v>
      </c>
    </row>
    <row r="12" spans="1:19" ht="30" hidden="1" outlineLevel="1">
      <c r="B12" s="384">
        <v>2024</v>
      </c>
      <c r="C12" s="384">
        <v>9</v>
      </c>
      <c r="D12" s="367" t="s">
        <v>5</v>
      </c>
      <c r="E12" s="367" t="s">
        <v>6</v>
      </c>
      <c r="F12" s="367" t="s">
        <v>543</v>
      </c>
      <c r="G12" s="385">
        <v>45371</v>
      </c>
      <c r="H12" s="367" t="s">
        <v>14</v>
      </c>
      <c r="I12" s="368" t="str">
        <f>VLOOKUP(H12,'[2]Source Codes'!A$2:B$115,2,FALSE)</f>
        <v>AP Warrant Issuance</v>
      </c>
      <c r="J12" s="412">
        <v>-1442035.45</v>
      </c>
      <c r="K12" s="385">
        <v>45369</v>
      </c>
      <c r="L12" s="387" t="s">
        <v>544</v>
      </c>
      <c r="M12" s="388">
        <v>45369.793761574074</v>
      </c>
      <c r="N12" s="368" t="s">
        <v>359</v>
      </c>
      <c r="O12" s="368" t="s">
        <v>368</v>
      </c>
    </row>
    <row r="13" spans="1:19" ht="12.75" customHeight="1" collapsed="1">
      <c r="J13" s="413">
        <f>SUM(J12)</f>
        <v>-1442035.45</v>
      </c>
    </row>
    <row r="15" spans="1:19" ht="12.75" customHeight="1">
      <c r="A15" s="378" t="s">
        <v>545</v>
      </c>
    </row>
    <row r="16" spans="1:19" ht="60" hidden="1" outlineLevel="1">
      <c r="B16" s="384">
        <v>2024</v>
      </c>
      <c r="C16" s="384">
        <v>9</v>
      </c>
      <c r="D16" s="367" t="s">
        <v>5</v>
      </c>
      <c r="E16" s="367" t="s">
        <v>6</v>
      </c>
      <c r="F16" s="367" t="s">
        <v>546</v>
      </c>
      <c r="G16" s="385">
        <v>45372</v>
      </c>
      <c r="H16" s="367" t="s">
        <v>14</v>
      </c>
      <c r="I16" s="368" t="str">
        <f>VLOOKUP(H16,'[2]Source Codes'!A$2:B$115,2,FALSE)</f>
        <v>AP Warrant Issuance</v>
      </c>
      <c r="J16" s="412">
        <v>-4618636.88</v>
      </c>
      <c r="K16" s="385">
        <v>45370</v>
      </c>
      <c r="L16" s="387" t="s">
        <v>549</v>
      </c>
      <c r="M16" s="388">
        <v>45370.793530092589</v>
      </c>
      <c r="N16" s="368" t="s">
        <v>359</v>
      </c>
      <c r="O16" s="368" t="s">
        <v>364</v>
      </c>
    </row>
    <row r="17" spans="1:15" ht="60" hidden="1" outlineLevel="1">
      <c r="B17" s="384">
        <v>2024</v>
      </c>
      <c r="C17" s="384">
        <v>9</v>
      </c>
      <c r="D17" s="367" t="s">
        <v>5</v>
      </c>
      <c r="E17" s="367" t="s">
        <v>6</v>
      </c>
      <c r="F17" s="367" t="s">
        <v>547</v>
      </c>
      <c r="G17" s="385">
        <v>45370</v>
      </c>
      <c r="H17" s="367" t="s">
        <v>14</v>
      </c>
      <c r="I17" s="368" t="str">
        <f>VLOOKUP(H17,'[2]Source Codes'!A$2:B$115,2,FALSE)</f>
        <v>AP Warrant Issuance</v>
      </c>
      <c r="J17" s="412">
        <v>-1203109.96</v>
      </c>
      <c r="K17" s="385">
        <v>45370</v>
      </c>
      <c r="L17" s="387" t="s">
        <v>550</v>
      </c>
      <c r="M17" s="388">
        <v>45370.793530092589</v>
      </c>
      <c r="N17" s="368" t="s">
        <v>360</v>
      </c>
      <c r="O17" s="368" t="s">
        <v>375</v>
      </c>
    </row>
    <row r="18" spans="1:15" ht="30" hidden="1" outlineLevel="1">
      <c r="B18" s="384">
        <v>2024</v>
      </c>
      <c r="C18" s="384">
        <v>9</v>
      </c>
      <c r="D18" s="367" t="s">
        <v>5</v>
      </c>
      <c r="E18" s="367" t="s">
        <v>6</v>
      </c>
      <c r="F18" s="367" t="s">
        <v>548</v>
      </c>
      <c r="G18" s="385">
        <v>45366</v>
      </c>
      <c r="H18" s="367" t="s">
        <v>11</v>
      </c>
      <c r="I18" s="368" t="str">
        <f>VLOOKUP(H18,'[2]Source Codes'!A$2:B$115,2,FALSE)</f>
        <v>AR Payments</v>
      </c>
      <c r="J18" s="412">
        <v>7680429.4800000004</v>
      </c>
      <c r="K18" s="385">
        <v>45370</v>
      </c>
      <c r="L18" s="387" t="s">
        <v>398</v>
      </c>
      <c r="M18" s="388">
        <v>45370.752476851849</v>
      </c>
      <c r="N18" s="368" t="s">
        <v>359</v>
      </c>
      <c r="O18" s="368" t="s">
        <v>392</v>
      </c>
    </row>
    <row r="19" spans="1:15" ht="12.75" customHeight="1" collapsed="1">
      <c r="J19" s="413">
        <f>SUM(J16:J18)</f>
        <v>1858682.6400000006</v>
      </c>
    </row>
    <row r="21" spans="1:15" ht="12.75" customHeight="1">
      <c r="A21" s="378" t="s">
        <v>551</v>
      </c>
    </row>
    <row r="22" spans="1:15" ht="30" hidden="1" outlineLevel="1">
      <c r="B22" s="384">
        <v>2024</v>
      </c>
      <c r="C22" s="384">
        <v>9</v>
      </c>
      <c r="D22" s="367" t="s">
        <v>5</v>
      </c>
      <c r="E22" s="367" t="s">
        <v>6</v>
      </c>
      <c r="F22" s="367" t="s">
        <v>552</v>
      </c>
      <c r="G22" s="385">
        <v>45369</v>
      </c>
      <c r="H22" s="367" t="s">
        <v>12</v>
      </c>
      <c r="I22" s="368" t="str">
        <f>VLOOKUP(H22,'[2]Source Codes'!A$2:B$115,2,FALSE)</f>
        <v>AR Direct Cash Journal</v>
      </c>
      <c r="J22" s="412">
        <v>1454536.41</v>
      </c>
      <c r="K22" s="385">
        <v>45371</v>
      </c>
      <c r="L22" s="387" t="s">
        <v>557</v>
      </c>
      <c r="M22" s="388">
        <v>45371.751747685186</v>
      </c>
      <c r="N22" s="368" t="s">
        <v>359</v>
      </c>
      <c r="O22" s="368" t="s">
        <v>370</v>
      </c>
    </row>
    <row r="23" spans="1:15" ht="30" hidden="1" outlineLevel="1">
      <c r="B23" s="384">
        <v>2024</v>
      </c>
      <c r="C23" s="384">
        <v>9</v>
      </c>
      <c r="D23" s="367" t="s">
        <v>5</v>
      </c>
      <c r="E23" s="367" t="s">
        <v>6</v>
      </c>
      <c r="F23" s="367" t="s">
        <v>553</v>
      </c>
      <c r="G23" s="385">
        <v>45371</v>
      </c>
      <c r="H23" s="367" t="s">
        <v>12</v>
      </c>
      <c r="I23" s="368" t="str">
        <f>VLOOKUP(H23,'[2]Source Codes'!A$2:B$115,2,FALSE)</f>
        <v>AR Direct Cash Journal</v>
      </c>
      <c r="J23" s="412">
        <v>1373057.77</v>
      </c>
      <c r="K23" s="385">
        <v>45371</v>
      </c>
      <c r="L23" s="387" t="s">
        <v>558</v>
      </c>
      <c r="M23" s="388">
        <v>45371.751747685186</v>
      </c>
      <c r="N23" s="368" t="s">
        <v>359</v>
      </c>
      <c r="O23" s="368" t="s">
        <v>370</v>
      </c>
    </row>
    <row r="24" spans="1:15" ht="30" hidden="1" outlineLevel="1">
      <c r="B24" s="384">
        <v>2024</v>
      </c>
      <c r="C24" s="384">
        <v>9</v>
      </c>
      <c r="D24" s="367" t="s">
        <v>5</v>
      </c>
      <c r="E24" s="367" t="s">
        <v>6</v>
      </c>
      <c r="F24" s="367" t="s">
        <v>554</v>
      </c>
      <c r="G24" s="385">
        <v>45363</v>
      </c>
      <c r="H24" s="367" t="s">
        <v>12</v>
      </c>
      <c r="I24" s="368" t="str">
        <f>VLOOKUP(H24,'[2]Source Codes'!A$2:B$115,2,FALSE)</f>
        <v>AR Direct Cash Journal</v>
      </c>
      <c r="J24" s="412">
        <v>2929487.08</v>
      </c>
      <c r="K24" s="385">
        <v>45371</v>
      </c>
      <c r="L24" s="387" t="s">
        <v>559</v>
      </c>
      <c r="M24" s="388">
        <v>45371.751747685186</v>
      </c>
      <c r="N24" s="368" t="s">
        <v>359</v>
      </c>
      <c r="O24" s="368" t="s">
        <v>368</v>
      </c>
    </row>
    <row r="25" spans="1:15" ht="45" hidden="1" outlineLevel="1">
      <c r="B25" s="384">
        <v>2024</v>
      </c>
      <c r="C25" s="384">
        <v>9</v>
      </c>
      <c r="D25" s="367" t="s">
        <v>5</v>
      </c>
      <c r="E25" s="367" t="s">
        <v>6</v>
      </c>
      <c r="F25" s="367" t="s">
        <v>555</v>
      </c>
      <c r="G25" s="385">
        <v>45365</v>
      </c>
      <c r="H25" s="367" t="s">
        <v>11</v>
      </c>
      <c r="I25" s="368" t="str">
        <f>VLOOKUP(H25,'[2]Source Codes'!A$2:B$115,2,FALSE)</f>
        <v>AR Payments</v>
      </c>
      <c r="J25" s="412">
        <v>1462316.35</v>
      </c>
      <c r="K25" s="385">
        <v>45371</v>
      </c>
      <c r="L25" s="387" t="s">
        <v>560</v>
      </c>
      <c r="M25" s="388">
        <v>45371.751747685186</v>
      </c>
      <c r="N25" s="368" t="s">
        <v>359</v>
      </c>
      <c r="O25" s="368" t="s">
        <v>392</v>
      </c>
    </row>
    <row r="26" spans="1:15" ht="15" hidden="1" outlineLevel="1">
      <c r="B26" s="384">
        <v>2024</v>
      </c>
      <c r="C26" s="384">
        <v>9</v>
      </c>
      <c r="D26" s="367" t="s">
        <v>5</v>
      </c>
      <c r="E26" s="367" t="s">
        <v>6</v>
      </c>
      <c r="F26" s="367" t="s">
        <v>561</v>
      </c>
      <c r="G26" s="385">
        <v>45364</v>
      </c>
      <c r="H26" s="367" t="s">
        <v>337</v>
      </c>
      <c r="I26" s="368" t="str">
        <f>VLOOKUP(H26,'[2]Source Codes'!A$2:B$115,2,FALSE)</f>
        <v>Facilities Mngmnt Intfc Jrnls</v>
      </c>
      <c r="J26" s="412">
        <v>-1370182.92</v>
      </c>
      <c r="K26" s="385">
        <v>45372</v>
      </c>
      <c r="L26" s="387" t="s">
        <v>562</v>
      </c>
      <c r="M26" s="388">
        <v>45372.315405092595</v>
      </c>
      <c r="N26" s="368" t="s">
        <v>359</v>
      </c>
      <c r="O26" s="368" t="s">
        <v>367</v>
      </c>
    </row>
    <row r="27" spans="1:15" ht="12.75" hidden="1" customHeight="1" outlineLevel="1">
      <c r="B27" s="384">
        <v>2024</v>
      </c>
      <c r="C27" s="384">
        <v>9</v>
      </c>
      <c r="D27" s="367" t="s">
        <v>5</v>
      </c>
      <c r="E27" s="367" t="s">
        <v>6</v>
      </c>
      <c r="F27" s="367" t="s">
        <v>556</v>
      </c>
      <c r="G27" s="385">
        <v>45372</v>
      </c>
      <c r="H27" s="367" t="s">
        <v>7</v>
      </c>
      <c r="I27" s="368" t="str">
        <f>VLOOKUP(H27,'[2]Source Codes'!A$2:B$115,2,FALSE)</f>
        <v>HRMS Interface Journals</v>
      </c>
      <c r="J27" s="412">
        <v>-1337931.29</v>
      </c>
      <c r="K27" s="385">
        <v>45371</v>
      </c>
      <c r="L27" s="387" t="s">
        <v>406</v>
      </c>
      <c r="M27" s="388">
        <v>45371.529583333337</v>
      </c>
      <c r="N27" s="368" t="s">
        <v>365</v>
      </c>
      <c r="O27" s="368" t="s">
        <v>367</v>
      </c>
    </row>
    <row r="28" spans="1:15" ht="12.75" customHeight="1" collapsed="1">
      <c r="J28" s="413">
        <f>SUM(J22:J27)</f>
        <v>4511283.3999999994</v>
      </c>
    </row>
    <row r="30" spans="1:15" ht="12.75" customHeight="1">
      <c r="A30" s="378" t="s">
        <v>563</v>
      </c>
    </row>
    <row r="31" spans="1:15" ht="75" hidden="1" outlineLevel="1">
      <c r="B31" s="384">
        <v>2024</v>
      </c>
      <c r="C31" s="384">
        <v>9</v>
      </c>
      <c r="D31" s="367" t="s">
        <v>5</v>
      </c>
      <c r="E31" s="367" t="s">
        <v>6</v>
      </c>
      <c r="F31" s="367" t="s">
        <v>564</v>
      </c>
      <c r="G31" s="385">
        <v>45372</v>
      </c>
      <c r="H31" s="367" t="s">
        <v>14</v>
      </c>
      <c r="I31" s="368" t="str">
        <f>VLOOKUP(H31,'[2]Source Codes'!A$2:B$115,2,FALSE)</f>
        <v>AP Warrant Issuance</v>
      </c>
      <c r="J31" s="412">
        <v>-68564520.75</v>
      </c>
      <c r="K31" s="385">
        <v>45372</v>
      </c>
      <c r="L31" s="387" t="s">
        <v>568</v>
      </c>
      <c r="M31" s="388">
        <v>45372.793599537035</v>
      </c>
      <c r="N31" s="368" t="s">
        <v>361</v>
      </c>
      <c r="O31" s="368" t="s">
        <v>370</v>
      </c>
    </row>
    <row r="32" spans="1:15" ht="45" hidden="1" outlineLevel="1">
      <c r="B32" s="384">
        <v>2024</v>
      </c>
      <c r="C32" s="384">
        <v>9</v>
      </c>
      <c r="D32" s="367" t="s">
        <v>5</v>
      </c>
      <c r="E32" s="367" t="s">
        <v>6</v>
      </c>
      <c r="F32" s="367" t="s">
        <v>565</v>
      </c>
      <c r="G32" s="385">
        <v>45369</v>
      </c>
      <c r="H32" s="367" t="s">
        <v>11</v>
      </c>
      <c r="I32" s="368" t="str">
        <f>VLOOKUP(H32,'[2]Source Codes'!A$2:B$115,2,FALSE)</f>
        <v>AR Payments</v>
      </c>
      <c r="J32" s="412">
        <v>3526294.1</v>
      </c>
      <c r="K32" s="385">
        <v>45372</v>
      </c>
      <c r="L32" s="387" t="s">
        <v>569</v>
      </c>
      <c r="M32" s="388">
        <v>45372.751747685186</v>
      </c>
      <c r="N32" s="368" t="s">
        <v>359</v>
      </c>
      <c r="O32" s="368" t="s">
        <v>392</v>
      </c>
    </row>
    <row r="33" spans="1:15" ht="15" hidden="1" outlineLevel="1">
      <c r="B33" s="384">
        <v>2024</v>
      </c>
      <c r="C33" s="384">
        <v>9</v>
      </c>
      <c r="D33" s="367" t="s">
        <v>5</v>
      </c>
      <c r="E33" s="367" t="s">
        <v>6</v>
      </c>
      <c r="F33" s="367" t="s">
        <v>566</v>
      </c>
      <c r="G33" s="385">
        <v>45366</v>
      </c>
      <c r="H33" s="367" t="s">
        <v>8</v>
      </c>
      <c r="I33" s="368" t="str">
        <f>VLOOKUP(H33,'[2]Source Codes'!A$2:B$115,2,FALSE)</f>
        <v>Prch,Cntrl Mail,Flt,Prntg,Sply</v>
      </c>
      <c r="J33" s="412">
        <v>-2644312.9</v>
      </c>
      <c r="K33" s="385">
        <v>45372</v>
      </c>
      <c r="L33" s="387" t="s">
        <v>567</v>
      </c>
      <c r="M33" s="388">
        <v>45372.65253472222</v>
      </c>
      <c r="N33" s="368" t="s">
        <v>359</v>
      </c>
      <c r="O33" s="368" t="s">
        <v>382</v>
      </c>
    </row>
    <row r="34" spans="1:15" ht="12.75" customHeight="1" collapsed="1">
      <c r="J34" s="413">
        <f>SUM(J31:J33)</f>
        <v>-67682539.549999997</v>
      </c>
    </row>
    <row r="36" spans="1:15" ht="12.75" customHeight="1">
      <c r="A36" s="378" t="s">
        <v>570</v>
      </c>
    </row>
    <row r="37" spans="1:15" ht="60" hidden="1" outlineLevel="1">
      <c r="B37" s="384">
        <v>2024</v>
      </c>
      <c r="C37" s="384">
        <v>9</v>
      </c>
      <c r="D37" s="367" t="s">
        <v>5</v>
      </c>
      <c r="E37" s="367" t="s">
        <v>6</v>
      </c>
      <c r="F37" s="367" t="s">
        <v>571</v>
      </c>
      <c r="G37" s="385">
        <v>45378</v>
      </c>
      <c r="H37" s="367" t="s">
        <v>14</v>
      </c>
      <c r="I37" s="368" t="str">
        <f>VLOOKUP(H37,'[2]Source Codes'!A$2:B$115,2,FALSE)</f>
        <v>AP Warrant Issuance</v>
      </c>
      <c r="J37" s="412">
        <v>-1417095.36</v>
      </c>
      <c r="K37" s="385">
        <v>45376</v>
      </c>
      <c r="L37" s="387" t="s">
        <v>581</v>
      </c>
      <c r="M37" s="388">
        <v>45376.793541666666</v>
      </c>
      <c r="N37" s="368" t="s">
        <v>506</v>
      </c>
      <c r="O37" s="368" t="s">
        <v>370</v>
      </c>
    </row>
    <row r="38" spans="1:15" ht="30" hidden="1" outlineLevel="1">
      <c r="B38" s="384">
        <v>2024</v>
      </c>
      <c r="C38" s="384">
        <v>9</v>
      </c>
      <c r="D38" s="367" t="s">
        <v>5</v>
      </c>
      <c r="E38" s="367" t="s">
        <v>6</v>
      </c>
      <c r="F38" s="367" t="s">
        <v>572</v>
      </c>
      <c r="G38" s="385">
        <v>45363</v>
      </c>
      <c r="H38" s="367" t="s">
        <v>9</v>
      </c>
      <c r="I38" s="368" t="str">
        <f>VLOOKUP(H38,'[2]Source Codes'!A$2:B$115,2,FALSE)</f>
        <v>On Line Journal Entries</v>
      </c>
      <c r="J38" s="412">
        <v>13206866</v>
      </c>
      <c r="K38" s="385">
        <v>45376</v>
      </c>
      <c r="L38" s="387" t="s">
        <v>580</v>
      </c>
      <c r="M38" s="388">
        <v>45376.415393518517</v>
      </c>
      <c r="N38" s="368" t="s">
        <v>361</v>
      </c>
      <c r="O38" s="368" t="s">
        <v>357</v>
      </c>
    </row>
    <row r="39" spans="1:15" ht="60" hidden="1" outlineLevel="1">
      <c r="B39" s="384">
        <v>2024</v>
      </c>
      <c r="C39" s="384">
        <v>9</v>
      </c>
      <c r="D39" s="367" t="s">
        <v>5</v>
      </c>
      <c r="E39" s="367" t="s">
        <v>6</v>
      </c>
      <c r="F39" s="367" t="s">
        <v>573</v>
      </c>
      <c r="G39" s="385">
        <v>45366</v>
      </c>
      <c r="H39" s="367" t="s">
        <v>9</v>
      </c>
      <c r="I39" s="368" t="str">
        <f>VLOOKUP(H39,'[2]Source Codes'!A$2:B$115,2,FALSE)</f>
        <v>On Line Journal Entries</v>
      </c>
      <c r="J39" s="412">
        <v>5882608</v>
      </c>
      <c r="K39" s="385">
        <v>45376</v>
      </c>
      <c r="L39" s="387" t="s">
        <v>347</v>
      </c>
      <c r="M39" s="388">
        <v>45376.8825</v>
      </c>
      <c r="N39" s="368" t="s">
        <v>359</v>
      </c>
      <c r="O39" s="368" t="s">
        <v>364</v>
      </c>
    </row>
    <row r="40" spans="1:15" ht="75" hidden="1" outlineLevel="1">
      <c r="B40" s="384">
        <v>2024</v>
      </c>
      <c r="C40" s="384">
        <v>9</v>
      </c>
      <c r="D40" s="367" t="s">
        <v>5</v>
      </c>
      <c r="E40" s="367" t="s">
        <v>6</v>
      </c>
      <c r="F40" s="367" t="s">
        <v>574</v>
      </c>
      <c r="G40" s="385">
        <v>45359</v>
      </c>
      <c r="H40" s="367" t="s">
        <v>9</v>
      </c>
      <c r="I40" s="368" t="str">
        <f>VLOOKUP(H40,'[2]Source Codes'!A$2:B$115,2,FALSE)</f>
        <v>On Line Journal Entries</v>
      </c>
      <c r="J40" s="412">
        <v>4963631.3</v>
      </c>
      <c r="K40" s="385">
        <v>45376</v>
      </c>
      <c r="L40" s="387" t="s">
        <v>339</v>
      </c>
      <c r="M40" s="388">
        <v>45376.8825</v>
      </c>
      <c r="N40" s="368" t="s">
        <v>359</v>
      </c>
      <c r="O40" s="368" t="s">
        <v>364</v>
      </c>
    </row>
    <row r="41" spans="1:15" ht="15" hidden="1" outlineLevel="1">
      <c r="B41" s="384">
        <v>2024</v>
      </c>
      <c r="C41" s="384">
        <v>9</v>
      </c>
      <c r="D41" s="367" t="s">
        <v>5</v>
      </c>
      <c r="E41" s="367" t="s">
        <v>6</v>
      </c>
      <c r="F41" s="367" t="s">
        <v>575</v>
      </c>
      <c r="G41" s="385">
        <v>45370</v>
      </c>
      <c r="H41" s="367" t="s">
        <v>9</v>
      </c>
      <c r="I41" s="368" t="str">
        <f>VLOOKUP(H41,'[2]Source Codes'!A$2:B$115,2,FALSE)</f>
        <v>On Line Journal Entries</v>
      </c>
      <c r="J41" s="412">
        <v>4963537</v>
      </c>
      <c r="K41" s="385">
        <v>45376</v>
      </c>
      <c r="L41" s="387" t="s">
        <v>577</v>
      </c>
      <c r="M41" s="388">
        <v>45376.8825</v>
      </c>
      <c r="N41" s="368" t="s">
        <v>359</v>
      </c>
      <c r="O41" s="368" t="s">
        <v>369</v>
      </c>
    </row>
    <row r="42" spans="1:15" ht="75" hidden="1" outlineLevel="1">
      <c r="B42" s="384">
        <v>2024</v>
      </c>
      <c r="C42" s="384">
        <v>9</v>
      </c>
      <c r="D42" s="367" t="s">
        <v>5</v>
      </c>
      <c r="E42" s="367" t="s">
        <v>6</v>
      </c>
      <c r="F42" s="367" t="s">
        <v>576</v>
      </c>
      <c r="G42" s="385">
        <v>45359</v>
      </c>
      <c r="H42" s="367" t="s">
        <v>9</v>
      </c>
      <c r="I42" s="368" t="str">
        <f>VLOOKUP(H42,'[2]Source Codes'!A$2:B$115,2,FALSE)</f>
        <v>On Line Journal Entries</v>
      </c>
      <c r="J42" s="412">
        <v>2745515</v>
      </c>
      <c r="K42" s="385">
        <v>45376</v>
      </c>
      <c r="L42" s="387" t="s">
        <v>339</v>
      </c>
      <c r="M42" s="388">
        <v>45376.8825</v>
      </c>
      <c r="N42" s="368" t="s">
        <v>359</v>
      </c>
      <c r="O42" s="368" t="s">
        <v>364</v>
      </c>
    </row>
    <row r="43" spans="1:15" ht="15" hidden="1" outlineLevel="1">
      <c r="B43" s="384">
        <v>2024</v>
      </c>
      <c r="C43" s="384">
        <v>9</v>
      </c>
      <c r="D43" s="367" t="s">
        <v>5</v>
      </c>
      <c r="E43" s="367" t="s">
        <v>6</v>
      </c>
      <c r="F43" s="367" t="s">
        <v>578</v>
      </c>
      <c r="G43" s="385">
        <v>45371</v>
      </c>
      <c r="H43" s="367" t="s">
        <v>7</v>
      </c>
      <c r="I43" s="368" t="str">
        <f>VLOOKUP(H43,'[2]Source Codes'!A$2:B$115,2,FALSE)</f>
        <v>HRMS Interface Journals</v>
      </c>
      <c r="J43" s="412">
        <v>-2330169.7000000002</v>
      </c>
      <c r="K43" s="385">
        <v>45376</v>
      </c>
      <c r="L43" s="387" t="s">
        <v>350</v>
      </c>
      <c r="M43" s="388">
        <v>45376.426689814813</v>
      </c>
      <c r="N43" s="368" t="s">
        <v>378</v>
      </c>
      <c r="O43" s="368" t="s">
        <v>379</v>
      </c>
    </row>
    <row r="44" spans="1:15" ht="15" hidden="1" outlineLevel="1">
      <c r="B44" s="384">
        <v>2024</v>
      </c>
      <c r="C44" s="384">
        <v>9</v>
      </c>
      <c r="D44" s="367" t="s">
        <v>5</v>
      </c>
      <c r="E44" s="367" t="s">
        <v>6</v>
      </c>
      <c r="F44" s="367" t="s">
        <v>579</v>
      </c>
      <c r="G44" s="385">
        <v>45371</v>
      </c>
      <c r="H44" s="367" t="s">
        <v>7</v>
      </c>
      <c r="I44" s="368" t="str">
        <f>VLOOKUP(H44,'[2]Source Codes'!A$2:B$115,2,FALSE)</f>
        <v>HRMS Interface Journals</v>
      </c>
      <c r="J44" s="412">
        <v>-10664880.109999999</v>
      </c>
      <c r="K44" s="385">
        <v>45376</v>
      </c>
      <c r="L44" s="387" t="s">
        <v>349</v>
      </c>
      <c r="M44" s="388">
        <v>45376.42260416667</v>
      </c>
      <c r="N44" s="368" t="s">
        <v>378</v>
      </c>
      <c r="O44" s="368" t="s">
        <v>379</v>
      </c>
    </row>
    <row r="45" spans="1:15" ht="12.75" customHeight="1" collapsed="1">
      <c r="J45" s="413">
        <f>SUM(J37:J44)</f>
        <v>17350012.130000003</v>
      </c>
    </row>
    <row r="47" spans="1:15" ht="12.75" customHeight="1">
      <c r="A47" s="378" t="s">
        <v>582</v>
      </c>
    </row>
    <row r="48" spans="1:15" ht="60" hidden="1" outlineLevel="1">
      <c r="B48" s="384">
        <v>2024</v>
      </c>
      <c r="C48" s="384">
        <v>9</v>
      </c>
      <c r="D48" s="367" t="s">
        <v>5</v>
      </c>
      <c r="E48" s="367" t="s">
        <v>6</v>
      </c>
      <c r="F48" s="367" t="s">
        <v>583</v>
      </c>
      <c r="G48" s="385">
        <v>45377</v>
      </c>
      <c r="H48" s="367" t="s">
        <v>14</v>
      </c>
      <c r="I48" s="368" t="str">
        <f>VLOOKUP(H48,'[2]Source Codes'!A$2:B$115,2,FALSE)</f>
        <v>AP Warrant Issuance</v>
      </c>
      <c r="J48" s="412">
        <v>-6248551.6100000003</v>
      </c>
      <c r="K48" s="385">
        <v>45377</v>
      </c>
      <c r="L48" s="387" t="s">
        <v>592</v>
      </c>
      <c r="M48" s="388">
        <v>45377.79378472222</v>
      </c>
      <c r="N48" s="368" t="s">
        <v>361</v>
      </c>
      <c r="O48" s="368" t="s">
        <v>358</v>
      </c>
    </row>
    <row r="49" spans="1:15" ht="30" hidden="1" outlineLevel="1">
      <c r="B49" s="384">
        <v>2024</v>
      </c>
      <c r="C49" s="384">
        <v>9</v>
      </c>
      <c r="D49" s="367" t="s">
        <v>5</v>
      </c>
      <c r="E49" s="367" t="s">
        <v>6</v>
      </c>
      <c r="F49" s="367" t="s">
        <v>584</v>
      </c>
      <c r="G49" s="385">
        <v>45379</v>
      </c>
      <c r="H49" s="367" t="s">
        <v>14</v>
      </c>
      <c r="I49" s="368" t="str">
        <f>VLOOKUP(H49,'[2]Source Codes'!A$2:B$115,2,FALSE)</f>
        <v>AP Warrant Issuance</v>
      </c>
      <c r="J49" s="412">
        <v>-5518975.9299999997</v>
      </c>
      <c r="K49" s="385">
        <v>45377</v>
      </c>
      <c r="L49" s="387" t="s">
        <v>593</v>
      </c>
      <c r="M49" s="388">
        <v>45377.79378472222</v>
      </c>
      <c r="N49" s="368" t="s">
        <v>356</v>
      </c>
      <c r="O49" s="368" t="s">
        <v>368</v>
      </c>
    </row>
    <row r="50" spans="1:15" ht="30" hidden="1" outlineLevel="1">
      <c r="B50" s="384">
        <v>2024</v>
      </c>
      <c r="C50" s="384">
        <v>9</v>
      </c>
      <c r="D50" s="367" t="s">
        <v>5</v>
      </c>
      <c r="E50" s="367" t="s">
        <v>6</v>
      </c>
      <c r="F50" s="367" t="s">
        <v>585</v>
      </c>
      <c r="G50" s="385">
        <v>45377</v>
      </c>
      <c r="H50" s="367" t="s">
        <v>14</v>
      </c>
      <c r="I50" s="368" t="str">
        <f>VLOOKUP(H50,'[2]Source Codes'!A$2:B$115,2,FALSE)</f>
        <v>AP Warrant Issuance</v>
      </c>
      <c r="J50" s="412">
        <v>-1645627.03</v>
      </c>
      <c r="K50" s="385">
        <v>45377</v>
      </c>
      <c r="L50" s="387" t="s">
        <v>594</v>
      </c>
      <c r="M50" s="388">
        <v>45377.79378472222</v>
      </c>
      <c r="N50" s="368" t="s">
        <v>356</v>
      </c>
      <c r="O50" s="368" t="s">
        <v>368</v>
      </c>
    </row>
    <row r="51" spans="1:15" ht="30" hidden="1" outlineLevel="1">
      <c r="B51" s="384">
        <v>2024</v>
      </c>
      <c r="C51" s="384">
        <v>9</v>
      </c>
      <c r="D51" s="367" t="s">
        <v>5</v>
      </c>
      <c r="E51" s="367" t="s">
        <v>6</v>
      </c>
      <c r="F51" s="367" t="s">
        <v>586</v>
      </c>
      <c r="G51" s="385">
        <v>45377</v>
      </c>
      <c r="H51" s="367" t="s">
        <v>14</v>
      </c>
      <c r="I51" s="368" t="str">
        <f>VLOOKUP(H51,'[2]Source Codes'!A$2:B$115,2,FALSE)</f>
        <v>AP Warrant Issuance</v>
      </c>
      <c r="J51" s="412">
        <v>-1130069.21</v>
      </c>
      <c r="K51" s="385">
        <v>45377</v>
      </c>
      <c r="L51" s="387" t="s">
        <v>595</v>
      </c>
      <c r="M51" s="388">
        <v>45377.79378472222</v>
      </c>
      <c r="N51" s="368" t="s">
        <v>360</v>
      </c>
      <c r="O51" s="368" t="s">
        <v>367</v>
      </c>
    </row>
    <row r="52" spans="1:15" ht="30" hidden="1" outlineLevel="1">
      <c r="B52" s="384">
        <v>2024</v>
      </c>
      <c r="C52" s="384">
        <v>9</v>
      </c>
      <c r="D52" s="367" t="s">
        <v>5</v>
      </c>
      <c r="E52" s="367" t="s">
        <v>6</v>
      </c>
      <c r="F52" s="367" t="s">
        <v>587</v>
      </c>
      <c r="G52" s="385">
        <v>45376</v>
      </c>
      <c r="H52" s="367" t="s">
        <v>12</v>
      </c>
      <c r="I52" s="368" t="str">
        <f>VLOOKUP(H52,'[2]Source Codes'!A$2:B$115,2,FALSE)</f>
        <v>AR Direct Cash Journal</v>
      </c>
      <c r="J52" s="412">
        <v>6707316.2300000004</v>
      </c>
      <c r="K52" s="385">
        <v>45377</v>
      </c>
      <c r="L52" s="387" t="s">
        <v>596</v>
      </c>
      <c r="M52" s="388">
        <v>45377.751562500001</v>
      </c>
      <c r="N52" s="368" t="s">
        <v>359</v>
      </c>
      <c r="O52" s="368" t="s">
        <v>370</v>
      </c>
    </row>
    <row r="53" spans="1:15" ht="15" hidden="1" outlineLevel="1">
      <c r="B53" s="384">
        <v>2024</v>
      </c>
      <c r="C53" s="384">
        <v>9</v>
      </c>
      <c r="D53" s="367" t="s">
        <v>5</v>
      </c>
      <c r="E53" s="367" t="s">
        <v>6</v>
      </c>
      <c r="F53" s="367" t="s">
        <v>588</v>
      </c>
      <c r="G53" s="385">
        <v>45377</v>
      </c>
      <c r="H53" s="367" t="s">
        <v>12</v>
      </c>
      <c r="I53" s="368" t="str">
        <f>VLOOKUP(H53,'[2]Source Codes'!A$2:B$115,2,FALSE)</f>
        <v>AR Direct Cash Journal</v>
      </c>
      <c r="J53" s="412">
        <v>4144165.03</v>
      </c>
      <c r="K53" s="385">
        <v>45377</v>
      </c>
      <c r="L53" s="387" t="s">
        <v>345</v>
      </c>
      <c r="M53" s="388">
        <v>45377.751562500001</v>
      </c>
      <c r="N53" s="368" t="s">
        <v>359</v>
      </c>
      <c r="O53" s="368" t="s">
        <v>371</v>
      </c>
    </row>
    <row r="54" spans="1:15" ht="30" hidden="1" outlineLevel="1">
      <c r="B54" s="384">
        <v>2024</v>
      </c>
      <c r="C54" s="384">
        <v>9</v>
      </c>
      <c r="D54" s="367" t="s">
        <v>5</v>
      </c>
      <c r="E54" s="367" t="s">
        <v>6</v>
      </c>
      <c r="F54" s="367" t="s">
        <v>589</v>
      </c>
      <c r="G54" s="385">
        <v>45371</v>
      </c>
      <c r="H54" s="367" t="s">
        <v>12</v>
      </c>
      <c r="I54" s="368" t="str">
        <f>VLOOKUP(H54,'[2]Source Codes'!A$2:B$115,2,FALSE)</f>
        <v>AR Direct Cash Journal</v>
      </c>
      <c r="J54" s="412">
        <v>2418373.86</v>
      </c>
      <c r="K54" s="385">
        <v>45377</v>
      </c>
      <c r="L54" s="387" t="s">
        <v>597</v>
      </c>
      <c r="M54" s="388">
        <v>45377.751562500001</v>
      </c>
      <c r="N54" s="368" t="s">
        <v>359</v>
      </c>
      <c r="O54" s="368" t="s">
        <v>362</v>
      </c>
    </row>
    <row r="55" spans="1:15" ht="30" hidden="1" outlineLevel="1">
      <c r="B55" s="384">
        <v>2024</v>
      </c>
      <c r="C55" s="384">
        <v>9</v>
      </c>
      <c r="D55" s="367" t="s">
        <v>5</v>
      </c>
      <c r="E55" s="367" t="s">
        <v>6</v>
      </c>
      <c r="F55" s="367" t="s">
        <v>590</v>
      </c>
      <c r="G55" s="385">
        <v>45372</v>
      </c>
      <c r="H55" s="367" t="s">
        <v>9</v>
      </c>
      <c r="I55" s="368" t="str">
        <f>VLOOKUP(H55,'[2]Source Codes'!A$2:B$115,2,FALSE)</f>
        <v>On Line Journal Entries</v>
      </c>
      <c r="J55" s="412">
        <v>1837043</v>
      </c>
      <c r="K55" s="385">
        <v>45377</v>
      </c>
      <c r="L55" s="387" t="s">
        <v>591</v>
      </c>
      <c r="M55" s="388">
        <v>45377.795497685183</v>
      </c>
      <c r="N55" s="368" t="s">
        <v>361</v>
      </c>
      <c r="O55" s="368" t="s">
        <v>380</v>
      </c>
    </row>
    <row r="56" spans="1:15" ht="12.75" customHeight="1" collapsed="1">
      <c r="J56" s="413">
        <f>SUM(J48:J55)</f>
        <v>563674.34000000264</v>
      </c>
    </row>
    <row r="58" spans="1:15" ht="12.75" customHeight="1">
      <c r="A58" s="378" t="s">
        <v>598</v>
      </c>
    </row>
    <row r="59" spans="1:15" ht="90" hidden="1" outlineLevel="1">
      <c r="B59" s="384">
        <v>2024</v>
      </c>
      <c r="C59" s="384">
        <v>9</v>
      </c>
      <c r="D59" s="367" t="s">
        <v>5</v>
      </c>
      <c r="E59" s="367" t="s">
        <v>6</v>
      </c>
      <c r="F59" s="367" t="s">
        <v>599</v>
      </c>
      <c r="G59" s="385">
        <v>45380</v>
      </c>
      <c r="H59" s="367" t="s">
        <v>14</v>
      </c>
      <c r="I59" s="368" t="str">
        <f>VLOOKUP(H59,'[2]Source Codes'!A$2:B$115,2,FALSE)</f>
        <v>AP Warrant Issuance</v>
      </c>
      <c r="J59" s="412">
        <v>-4214499.5199999996</v>
      </c>
      <c r="K59" s="385">
        <v>45378</v>
      </c>
      <c r="L59" s="387" t="s">
        <v>612</v>
      </c>
      <c r="M59" s="388">
        <v>45378.793738425928</v>
      </c>
      <c r="N59" s="368" t="s">
        <v>507</v>
      </c>
      <c r="O59" s="368" t="s">
        <v>358</v>
      </c>
    </row>
    <row r="60" spans="1:15" ht="60" hidden="1" outlineLevel="1">
      <c r="B60" s="384">
        <v>2024</v>
      </c>
      <c r="C60" s="384">
        <v>9</v>
      </c>
      <c r="D60" s="367" t="s">
        <v>5</v>
      </c>
      <c r="E60" s="367" t="s">
        <v>6</v>
      </c>
      <c r="F60" s="367" t="s">
        <v>600</v>
      </c>
      <c r="G60" s="385">
        <v>45378</v>
      </c>
      <c r="H60" s="367" t="s">
        <v>14</v>
      </c>
      <c r="I60" s="368" t="str">
        <f>VLOOKUP(H60,'[2]Source Codes'!A$2:B$115,2,FALSE)</f>
        <v>AP Warrant Issuance</v>
      </c>
      <c r="J60" s="412">
        <v>-2562060.13</v>
      </c>
      <c r="K60" s="385">
        <v>45378</v>
      </c>
      <c r="L60" s="387" t="s">
        <v>613</v>
      </c>
      <c r="M60" s="388">
        <v>45378.793738425928</v>
      </c>
      <c r="N60" s="368" t="s">
        <v>360</v>
      </c>
      <c r="O60" s="368" t="s">
        <v>375</v>
      </c>
    </row>
    <row r="61" spans="1:15" ht="30" hidden="1" outlineLevel="1">
      <c r="B61" s="384">
        <v>2024</v>
      </c>
      <c r="C61" s="384">
        <v>9</v>
      </c>
      <c r="D61" s="367" t="s">
        <v>5</v>
      </c>
      <c r="E61" s="367" t="s">
        <v>6</v>
      </c>
      <c r="F61" s="367" t="s">
        <v>601</v>
      </c>
      <c r="G61" s="385">
        <v>45378</v>
      </c>
      <c r="H61" s="367" t="s">
        <v>14</v>
      </c>
      <c r="I61" s="368" t="str">
        <f>VLOOKUP(H61,'[2]Source Codes'!A$2:B$115,2,FALSE)</f>
        <v>AP Warrant Issuance</v>
      </c>
      <c r="J61" s="412">
        <v>-1593500.86</v>
      </c>
      <c r="K61" s="385">
        <v>45378</v>
      </c>
      <c r="L61" s="387" t="s">
        <v>614</v>
      </c>
      <c r="M61" s="388">
        <v>45378.793738425928</v>
      </c>
      <c r="N61" s="368" t="s">
        <v>359</v>
      </c>
      <c r="O61" s="368" t="s">
        <v>368</v>
      </c>
    </row>
    <row r="62" spans="1:15" ht="30" hidden="1" outlineLevel="1">
      <c r="B62" s="384">
        <v>2024</v>
      </c>
      <c r="C62" s="384">
        <v>9</v>
      </c>
      <c r="D62" s="367" t="s">
        <v>5</v>
      </c>
      <c r="E62" s="367" t="s">
        <v>6</v>
      </c>
      <c r="F62" s="367" t="s">
        <v>602</v>
      </c>
      <c r="G62" s="385">
        <v>45380</v>
      </c>
      <c r="H62" s="367" t="s">
        <v>14</v>
      </c>
      <c r="I62" s="368" t="str">
        <f>VLOOKUP(H62,'[2]Source Codes'!A$2:B$115,2,FALSE)</f>
        <v>AP Warrant Issuance</v>
      </c>
      <c r="J62" s="412">
        <v>-1542678.53</v>
      </c>
      <c r="K62" s="385">
        <v>45378</v>
      </c>
      <c r="L62" s="387" t="s">
        <v>615</v>
      </c>
      <c r="M62" s="388">
        <v>45378.793738425928</v>
      </c>
      <c r="N62" s="368" t="s">
        <v>359</v>
      </c>
      <c r="O62" s="368" t="s">
        <v>368</v>
      </c>
    </row>
    <row r="63" spans="1:15" ht="30" hidden="1" outlineLevel="1">
      <c r="B63" s="384">
        <v>2024</v>
      </c>
      <c r="C63" s="384">
        <v>9</v>
      </c>
      <c r="D63" s="367" t="s">
        <v>5</v>
      </c>
      <c r="E63" s="367" t="s">
        <v>6</v>
      </c>
      <c r="F63" s="367" t="s">
        <v>603</v>
      </c>
      <c r="G63" s="385">
        <v>45377</v>
      </c>
      <c r="H63" s="367" t="s">
        <v>12</v>
      </c>
      <c r="I63" s="368" t="str">
        <f>VLOOKUP(H63,'[2]Source Codes'!A$2:B$115,2,FALSE)</f>
        <v>AR Direct Cash Journal</v>
      </c>
      <c r="J63" s="412">
        <v>4028106.26</v>
      </c>
      <c r="K63" s="385">
        <v>45378</v>
      </c>
      <c r="L63" s="387" t="s">
        <v>616</v>
      </c>
      <c r="M63" s="388">
        <v>45378.751863425925</v>
      </c>
      <c r="N63" s="368" t="s">
        <v>359</v>
      </c>
      <c r="O63" s="368" t="s">
        <v>370</v>
      </c>
    </row>
    <row r="64" spans="1:15" ht="15" hidden="1" outlineLevel="1">
      <c r="B64" s="384">
        <v>2024</v>
      </c>
      <c r="C64" s="384">
        <v>9</v>
      </c>
      <c r="D64" s="367" t="s">
        <v>5</v>
      </c>
      <c r="E64" s="367" t="s">
        <v>6</v>
      </c>
      <c r="F64" s="367" t="s">
        <v>604</v>
      </c>
      <c r="G64" s="385">
        <v>45366</v>
      </c>
      <c r="H64" s="367" t="s">
        <v>9</v>
      </c>
      <c r="I64" s="368" t="str">
        <f>VLOOKUP(H64,'[2]Source Codes'!A$2:B$115,2,FALSE)</f>
        <v>On Line Journal Entries</v>
      </c>
      <c r="J64" s="412">
        <v>9922236.7300000004</v>
      </c>
      <c r="K64" s="385">
        <v>45378</v>
      </c>
      <c r="L64" s="387" t="s">
        <v>611</v>
      </c>
      <c r="M64" s="388">
        <v>45378.795358796298</v>
      </c>
      <c r="N64" s="368" t="s">
        <v>361</v>
      </c>
      <c r="O64" s="368" t="s">
        <v>368</v>
      </c>
    </row>
    <row r="65" spans="1:15" ht="30" hidden="1" outlineLevel="1">
      <c r="B65" s="384">
        <v>2024</v>
      </c>
      <c r="C65" s="384">
        <v>9</v>
      </c>
      <c r="D65" s="367" t="s">
        <v>5</v>
      </c>
      <c r="E65" s="367" t="s">
        <v>6</v>
      </c>
      <c r="F65" s="367" t="s">
        <v>605</v>
      </c>
      <c r="G65" s="385">
        <v>45352</v>
      </c>
      <c r="H65" s="367" t="s">
        <v>9</v>
      </c>
      <c r="I65" s="368" t="str">
        <f>VLOOKUP(H65,'[2]Source Codes'!A$2:B$115,2,FALSE)</f>
        <v>On Line Journal Entries</v>
      </c>
      <c r="J65" s="412">
        <v>5186785</v>
      </c>
      <c r="K65" s="385">
        <v>45378</v>
      </c>
      <c r="L65" s="387" t="s">
        <v>334</v>
      </c>
      <c r="M65" s="388">
        <v>45378.795358796298</v>
      </c>
      <c r="N65" s="368" t="s">
        <v>359</v>
      </c>
      <c r="O65" s="368" t="s">
        <v>364</v>
      </c>
    </row>
    <row r="66" spans="1:15" ht="60" hidden="1" customHeight="1" outlineLevel="1">
      <c r="B66" s="384">
        <v>2024</v>
      </c>
      <c r="C66" s="384">
        <v>9</v>
      </c>
      <c r="D66" s="367" t="s">
        <v>5</v>
      </c>
      <c r="E66" s="367" t="s">
        <v>6</v>
      </c>
      <c r="F66" s="367" t="s">
        <v>606</v>
      </c>
      <c r="G66" s="385">
        <v>45352</v>
      </c>
      <c r="H66" s="367" t="s">
        <v>9</v>
      </c>
      <c r="I66" s="368" t="str">
        <f>VLOOKUP(H66,'[2]Source Codes'!A$2:B$115,2,FALSE)</f>
        <v>On Line Journal Entries</v>
      </c>
      <c r="J66" s="412">
        <v>4844317.91</v>
      </c>
      <c r="K66" s="385">
        <v>45378</v>
      </c>
      <c r="L66" s="387" t="s">
        <v>347</v>
      </c>
      <c r="M66" s="388">
        <v>45378.795358796298</v>
      </c>
      <c r="N66" s="368" t="s">
        <v>359</v>
      </c>
      <c r="O66" s="368" t="s">
        <v>364</v>
      </c>
    </row>
    <row r="67" spans="1:15" ht="15" hidden="1" outlineLevel="1">
      <c r="B67" s="384">
        <v>2024</v>
      </c>
      <c r="C67" s="384">
        <v>9</v>
      </c>
      <c r="D67" s="367" t="s">
        <v>5</v>
      </c>
      <c r="E67" s="367" t="s">
        <v>6</v>
      </c>
      <c r="F67" s="367" t="s">
        <v>607</v>
      </c>
      <c r="G67" s="385">
        <v>45363</v>
      </c>
      <c r="H67" s="367" t="s">
        <v>337</v>
      </c>
      <c r="I67" s="368" t="str">
        <f>VLOOKUP(H67,'[2]Source Codes'!A$2:B$115,2,FALSE)</f>
        <v>Facilities Mngmnt Intfc Jrnls</v>
      </c>
      <c r="J67" s="412">
        <v>-4064812.06</v>
      </c>
      <c r="K67" s="385">
        <v>45378</v>
      </c>
      <c r="L67" s="387" t="s">
        <v>609</v>
      </c>
      <c r="M67" s="388">
        <v>45378.795439814814</v>
      </c>
      <c r="N67" s="368" t="s">
        <v>359</v>
      </c>
      <c r="O67" s="368" t="s">
        <v>367</v>
      </c>
    </row>
    <row r="68" spans="1:15" ht="30" hidden="1" outlineLevel="1">
      <c r="B68" s="384">
        <v>2024</v>
      </c>
      <c r="C68" s="384">
        <v>9</v>
      </c>
      <c r="D68" s="367" t="s">
        <v>5</v>
      </c>
      <c r="E68" s="367" t="s">
        <v>6</v>
      </c>
      <c r="F68" s="367" t="s">
        <v>608</v>
      </c>
      <c r="G68" s="385">
        <v>45352</v>
      </c>
      <c r="H68" s="367" t="s">
        <v>9</v>
      </c>
      <c r="I68" s="368" t="str">
        <f>VLOOKUP(H68,'[2]Source Codes'!A$2:B$115,2,FALSE)</f>
        <v>On Line Journal Entries</v>
      </c>
      <c r="J68" s="412">
        <v>-4626972.74</v>
      </c>
      <c r="K68" s="385">
        <v>45378</v>
      </c>
      <c r="L68" s="387" t="s">
        <v>610</v>
      </c>
      <c r="M68" s="388">
        <v>45378.795358796298</v>
      </c>
      <c r="N68" s="368" t="s">
        <v>359</v>
      </c>
      <c r="O68" s="368" t="s">
        <v>374</v>
      </c>
    </row>
    <row r="69" spans="1:15" ht="12.75" customHeight="1" collapsed="1">
      <c r="J69" s="413">
        <f>SUM(J59:J68)</f>
        <v>5376922.0600000005</v>
      </c>
    </row>
    <row r="71" spans="1:15" ht="12.75" customHeight="1">
      <c r="A71" s="378" t="s">
        <v>617</v>
      </c>
    </row>
    <row r="72" spans="1:15" ht="30" hidden="1" outlineLevel="1">
      <c r="B72" s="384">
        <v>2024</v>
      </c>
      <c r="C72" s="384">
        <v>9</v>
      </c>
      <c r="D72" s="367" t="s">
        <v>5</v>
      </c>
      <c r="E72" s="367" t="s">
        <v>6</v>
      </c>
      <c r="F72" s="367" t="s">
        <v>618</v>
      </c>
      <c r="G72" s="385">
        <v>45379</v>
      </c>
      <c r="H72" s="367" t="s">
        <v>12</v>
      </c>
      <c r="I72" s="368" t="str">
        <f>VLOOKUP(H72,'[2]Source Codes'!A$2:B$115,2,FALSE)</f>
        <v>AR Direct Cash Journal</v>
      </c>
      <c r="J72" s="412">
        <v>3874993.17</v>
      </c>
      <c r="K72" s="385">
        <v>45379</v>
      </c>
      <c r="L72" s="387" t="s">
        <v>402</v>
      </c>
      <c r="M72" s="388">
        <v>45379.752222222225</v>
      </c>
      <c r="N72" s="368" t="s">
        <v>356</v>
      </c>
      <c r="O72" s="368" t="s">
        <v>371</v>
      </c>
    </row>
    <row r="73" spans="1:15" ht="30" hidden="1" outlineLevel="1">
      <c r="B73" s="384">
        <v>2024</v>
      </c>
      <c r="C73" s="384">
        <v>9</v>
      </c>
      <c r="D73" s="367" t="s">
        <v>5</v>
      </c>
      <c r="E73" s="367" t="s">
        <v>6</v>
      </c>
      <c r="F73" s="367" t="s">
        <v>619</v>
      </c>
      <c r="G73" s="385">
        <v>45370</v>
      </c>
      <c r="H73" s="367" t="s">
        <v>12</v>
      </c>
      <c r="I73" s="368" t="str">
        <f>VLOOKUP(H73,'[2]Source Codes'!A$2:B$115,2,FALSE)</f>
        <v>AR Direct Cash Journal</v>
      </c>
      <c r="J73" s="412">
        <v>1517963.89</v>
      </c>
      <c r="K73" s="385">
        <v>45379</v>
      </c>
      <c r="L73" s="387" t="s">
        <v>623</v>
      </c>
      <c r="M73" s="388">
        <v>45379.752222222225</v>
      </c>
      <c r="N73" s="368" t="s">
        <v>356</v>
      </c>
      <c r="O73" s="368" t="s">
        <v>370</v>
      </c>
    </row>
    <row r="74" spans="1:15" ht="15" hidden="1" outlineLevel="1">
      <c r="B74" s="384">
        <v>2024</v>
      </c>
      <c r="C74" s="384">
        <v>9</v>
      </c>
      <c r="D74" s="367" t="s">
        <v>5</v>
      </c>
      <c r="E74" s="367" t="s">
        <v>6</v>
      </c>
      <c r="F74" s="367" t="s">
        <v>620</v>
      </c>
      <c r="G74" s="385">
        <v>45371</v>
      </c>
      <c r="H74" s="367" t="s">
        <v>12</v>
      </c>
      <c r="I74" s="368" t="str">
        <f>VLOOKUP(H74,'[2]Source Codes'!A$2:B$115,2,FALSE)</f>
        <v>AR Direct Cash Journal</v>
      </c>
      <c r="J74" s="412">
        <v>4913221.0599999996</v>
      </c>
      <c r="K74" s="385">
        <v>45379</v>
      </c>
      <c r="L74" s="387" t="s">
        <v>383</v>
      </c>
      <c r="M74" s="388">
        <v>45379.752222222225</v>
      </c>
      <c r="N74" s="368" t="s">
        <v>372</v>
      </c>
      <c r="O74" s="368" t="s">
        <v>362</v>
      </c>
    </row>
    <row r="75" spans="1:15" ht="60" hidden="1" outlineLevel="1">
      <c r="B75" s="384">
        <v>2024</v>
      </c>
      <c r="C75" s="384">
        <v>9</v>
      </c>
      <c r="D75" s="367" t="s">
        <v>5</v>
      </c>
      <c r="E75" s="367" t="s">
        <v>6</v>
      </c>
      <c r="F75" s="367" t="s">
        <v>621</v>
      </c>
      <c r="G75" s="385">
        <v>45377</v>
      </c>
      <c r="H75" s="367" t="s">
        <v>11</v>
      </c>
      <c r="I75" s="368" t="str">
        <f>VLOOKUP(H75,'[2]Source Codes'!A$2:B$115,2,FALSE)</f>
        <v>AR Payments</v>
      </c>
      <c r="J75" s="412">
        <v>3489281.53</v>
      </c>
      <c r="K75" s="385">
        <v>45379</v>
      </c>
      <c r="L75" s="387" t="s">
        <v>624</v>
      </c>
      <c r="M75" s="388">
        <v>45379.752222222225</v>
      </c>
      <c r="N75" s="368" t="s">
        <v>356</v>
      </c>
      <c r="O75" s="368" t="s">
        <v>357</v>
      </c>
    </row>
    <row r="76" spans="1:15" ht="12.75" hidden="1" customHeight="1" outlineLevel="1">
      <c r="B76" s="384">
        <v>2024</v>
      </c>
      <c r="C76" s="384">
        <v>9</v>
      </c>
      <c r="D76" s="367" t="s">
        <v>5</v>
      </c>
      <c r="E76" s="367" t="s">
        <v>6</v>
      </c>
      <c r="F76" s="367" t="s">
        <v>622</v>
      </c>
      <c r="G76" s="385">
        <v>45371</v>
      </c>
      <c r="H76" s="367" t="s">
        <v>7</v>
      </c>
      <c r="I76" s="368" t="str">
        <f>VLOOKUP(H76,'[2]Source Codes'!A$2:B$115,2,FALSE)</f>
        <v>HRMS Interface Journals</v>
      </c>
      <c r="J76" s="412">
        <v>-66199707.780000001</v>
      </c>
      <c r="K76" s="385">
        <v>45379</v>
      </c>
      <c r="L76" s="387" t="s">
        <v>348</v>
      </c>
      <c r="M76" s="388">
        <v>45379.331701388888</v>
      </c>
      <c r="N76" s="368" t="s">
        <v>378</v>
      </c>
      <c r="O76" s="368" t="s">
        <v>379</v>
      </c>
    </row>
    <row r="77" spans="1:15" ht="12.75" customHeight="1" collapsed="1">
      <c r="J77" s="413">
        <f>SUM(J72:J76)</f>
        <v>-52404248.130000003</v>
      </c>
    </row>
    <row r="79" spans="1:15" ht="12.75" customHeight="1">
      <c r="A79" s="378" t="s">
        <v>625</v>
      </c>
    </row>
    <row r="80" spans="1:15" ht="30" hidden="1" outlineLevel="1">
      <c r="B80" s="384">
        <v>2024</v>
      </c>
      <c r="C80" s="384">
        <v>10</v>
      </c>
      <c r="D80" s="367" t="s">
        <v>5</v>
      </c>
      <c r="E80" s="367" t="s">
        <v>6</v>
      </c>
      <c r="F80" s="367" t="s">
        <v>626</v>
      </c>
      <c r="G80" s="385">
        <v>45384</v>
      </c>
      <c r="H80" s="367" t="s">
        <v>14</v>
      </c>
      <c r="I80" s="368" t="str">
        <f>VLOOKUP(H80,'[2]Source Codes'!A$2:B$115,2,FALSE)</f>
        <v>AP Warrant Issuance</v>
      </c>
      <c r="J80" s="412">
        <v>-1807710.85</v>
      </c>
      <c r="K80" s="385">
        <v>45380</v>
      </c>
      <c r="L80" s="387" t="s">
        <v>637</v>
      </c>
      <c r="M80" s="388">
        <v>45380.793310185189</v>
      </c>
      <c r="N80" s="368" t="s">
        <v>356</v>
      </c>
      <c r="O80" s="368" t="s">
        <v>368</v>
      </c>
    </row>
    <row r="81" spans="1:15" ht="42.75" hidden="1" customHeight="1" outlineLevel="1">
      <c r="B81" s="384">
        <v>2024</v>
      </c>
      <c r="C81" s="384">
        <v>9</v>
      </c>
      <c r="D81" s="367" t="s">
        <v>5</v>
      </c>
      <c r="E81" s="367" t="s">
        <v>6</v>
      </c>
      <c r="F81" s="367" t="s">
        <v>627</v>
      </c>
      <c r="G81" s="385">
        <v>45380</v>
      </c>
      <c r="H81" s="367" t="s">
        <v>14</v>
      </c>
      <c r="I81" s="368" t="str">
        <f>VLOOKUP(H81,'[2]Source Codes'!A$2:B$115,2,FALSE)</f>
        <v>AP Warrant Issuance</v>
      </c>
      <c r="J81" s="412">
        <v>-1421192.26</v>
      </c>
      <c r="K81" s="385">
        <v>45380</v>
      </c>
      <c r="L81" s="387" t="s">
        <v>638</v>
      </c>
      <c r="M81" s="388">
        <v>45380.793310185189</v>
      </c>
      <c r="N81" s="368" t="s">
        <v>356</v>
      </c>
      <c r="O81" s="368" t="s">
        <v>368</v>
      </c>
    </row>
    <row r="82" spans="1:15" ht="30" hidden="1" outlineLevel="1">
      <c r="B82" s="384">
        <v>2024</v>
      </c>
      <c r="C82" s="384">
        <v>9</v>
      </c>
      <c r="D82" s="367" t="s">
        <v>5</v>
      </c>
      <c r="E82" s="367" t="s">
        <v>6</v>
      </c>
      <c r="F82" s="367" t="s">
        <v>628</v>
      </c>
      <c r="G82" s="385">
        <v>45380</v>
      </c>
      <c r="H82" s="367" t="s">
        <v>12</v>
      </c>
      <c r="I82" s="368" t="str">
        <f>VLOOKUP(H82,'[2]Source Codes'!A$2:B$115,2,FALSE)</f>
        <v>AR Direct Cash Journal</v>
      </c>
      <c r="J82" s="412">
        <v>3034645.49</v>
      </c>
      <c r="K82" s="385">
        <v>45380</v>
      </c>
      <c r="L82" s="387" t="s">
        <v>639</v>
      </c>
      <c r="M82" s="388">
        <v>45380.751539351855</v>
      </c>
      <c r="N82" s="368" t="s">
        <v>356</v>
      </c>
      <c r="O82" s="368" t="s">
        <v>370</v>
      </c>
    </row>
    <row r="83" spans="1:15" ht="60" hidden="1" outlineLevel="1">
      <c r="B83" s="384">
        <v>2024</v>
      </c>
      <c r="C83" s="384">
        <v>9</v>
      </c>
      <c r="D83" s="367" t="s">
        <v>5</v>
      </c>
      <c r="E83" s="367" t="s">
        <v>6</v>
      </c>
      <c r="F83" s="367" t="s">
        <v>629</v>
      </c>
      <c r="G83" s="385">
        <v>45378</v>
      </c>
      <c r="H83" s="367" t="s">
        <v>12</v>
      </c>
      <c r="I83" s="368" t="str">
        <f>VLOOKUP(H83,'[2]Source Codes'!A$2:B$115,2,FALSE)</f>
        <v>AR Direct Cash Journal</v>
      </c>
      <c r="J83" s="412">
        <v>2711025.63</v>
      </c>
      <c r="K83" s="385">
        <v>45380</v>
      </c>
      <c r="L83" s="387" t="s">
        <v>645</v>
      </c>
      <c r="M83" s="388">
        <v>45380.751539351855</v>
      </c>
      <c r="N83" s="368" t="s">
        <v>356</v>
      </c>
      <c r="O83" s="368" t="s">
        <v>368</v>
      </c>
    </row>
    <row r="84" spans="1:15" ht="15" hidden="1" outlineLevel="1">
      <c r="B84" s="384">
        <v>2024</v>
      </c>
      <c r="C84" s="384">
        <v>9</v>
      </c>
      <c r="D84" s="367" t="s">
        <v>5</v>
      </c>
      <c r="E84" s="367" t="s">
        <v>6</v>
      </c>
      <c r="F84" s="367" t="s">
        <v>630</v>
      </c>
      <c r="G84" s="385">
        <v>45380</v>
      </c>
      <c r="H84" s="367" t="s">
        <v>110</v>
      </c>
      <c r="I84" s="368" t="str">
        <f>VLOOKUP(H84,'[2]Source Codes'!A$2:B$115,2,FALSE)</f>
        <v>Treasurers Interest Apportion</v>
      </c>
      <c r="J84" s="412">
        <v>19638111.109999999</v>
      </c>
      <c r="K84" s="385">
        <v>45380</v>
      </c>
      <c r="L84" s="387" t="s">
        <v>636</v>
      </c>
      <c r="M84" s="388">
        <v>45380.484872685185</v>
      </c>
      <c r="N84" s="368" t="s">
        <v>361</v>
      </c>
      <c r="O84" s="368" t="s">
        <v>371</v>
      </c>
    </row>
    <row r="85" spans="1:15" ht="15" hidden="1" outlineLevel="1">
      <c r="B85" s="384">
        <v>2024</v>
      </c>
      <c r="C85" s="384">
        <v>9</v>
      </c>
      <c r="D85" s="367" t="s">
        <v>5</v>
      </c>
      <c r="E85" s="367" t="s">
        <v>6</v>
      </c>
      <c r="F85" s="367" t="s">
        <v>631</v>
      </c>
      <c r="G85" s="385">
        <v>45356</v>
      </c>
      <c r="H85" s="367" t="s">
        <v>9</v>
      </c>
      <c r="I85" s="368" t="str">
        <f>VLOOKUP(H85,'[2]Source Codes'!A$2:B$115,2,FALSE)</f>
        <v>On Line Journal Entries</v>
      </c>
      <c r="J85" s="412">
        <v>17049633</v>
      </c>
      <c r="K85" s="385">
        <v>45380</v>
      </c>
      <c r="L85" s="387" t="s">
        <v>635</v>
      </c>
      <c r="M85" s="388">
        <v>45380.795335648145</v>
      </c>
      <c r="N85" s="368" t="s">
        <v>356</v>
      </c>
      <c r="O85" s="368" t="s">
        <v>368</v>
      </c>
    </row>
    <row r="86" spans="1:15" ht="75" hidden="1" outlineLevel="1">
      <c r="B86" s="384">
        <v>2024</v>
      </c>
      <c r="C86" s="384">
        <v>9</v>
      </c>
      <c r="D86" s="367" t="s">
        <v>5</v>
      </c>
      <c r="E86" s="367" t="s">
        <v>6</v>
      </c>
      <c r="F86" s="367" t="s">
        <v>632</v>
      </c>
      <c r="G86" s="385">
        <v>45359</v>
      </c>
      <c r="H86" s="367" t="s">
        <v>9</v>
      </c>
      <c r="I86" s="368" t="str">
        <f>VLOOKUP(H86,'[2]Source Codes'!A$2:B$115,2,FALSE)</f>
        <v>On Line Journal Entries</v>
      </c>
      <c r="J86" s="412">
        <v>8078662</v>
      </c>
      <c r="K86" s="385">
        <v>45380</v>
      </c>
      <c r="L86" s="387" t="s">
        <v>339</v>
      </c>
      <c r="M86" s="388">
        <v>45380.795335648145</v>
      </c>
      <c r="N86" s="368" t="s">
        <v>356</v>
      </c>
      <c r="O86" s="368" t="s">
        <v>364</v>
      </c>
    </row>
    <row r="87" spans="1:15" ht="75" hidden="1" outlineLevel="1">
      <c r="B87" s="384">
        <v>2024</v>
      </c>
      <c r="C87" s="384">
        <v>9</v>
      </c>
      <c r="D87" s="367" t="s">
        <v>5</v>
      </c>
      <c r="E87" s="367" t="s">
        <v>6</v>
      </c>
      <c r="F87" s="367" t="s">
        <v>633</v>
      </c>
      <c r="G87" s="385">
        <v>45378</v>
      </c>
      <c r="H87" s="367" t="s">
        <v>9</v>
      </c>
      <c r="I87" s="368" t="str">
        <f>VLOOKUP(H87,'[2]Source Codes'!A$2:B$115,2,FALSE)</f>
        <v>On Line Journal Entries</v>
      </c>
      <c r="J87" s="412">
        <v>6768252</v>
      </c>
      <c r="K87" s="385">
        <v>45380</v>
      </c>
      <c r="L87" s="387" t="s">
        <v>339</v>
      </c>
      <c r="M87" s="388">
        <v>45380.795335648145</v>
      </c>
      <c r="N87" s="368" t="s">
        <v>356</v>
      </c>
      <c r="O87" s="368" t="s">
        <v>364</v>
      </c>
    </row>
    <row r="88" spans="1:15" ht="75" hidden="1" outlineLevel="1">
      <c r="B88" s="384">
        <v>2024</v>
      </c>
      <c r="C88" s="384">
        <v>9</v>
      </c>
      <c r="D88" s="367" t="s">
        <v>5</v>
      </c>
      <c r="E88" s="367" t="s">
        <v>6</v>
      </c>
      <c r="F88" s="367" t="s">
        <v>634</v>
      </c>
      <c r="G88" s="385">
        <v>45378</v>
      </c>
      <c r="H88" s="367" t="s">
        <v>9</v>
      </c>
      <c r="I88" s="368" t="str">
        <f>VLOOKUP(H88,'[2]Source Codes'!A$2:B$115,2,FALSE)</f>
        <v>On Line Journal Entries</v>
      </c>
      <c r="J88" s="412">
        <v>6165042</v>
      </c>
      <c r="K88" s="385">
        <v>45380</v>
      </c>
      <c r="L88" s="387" t="s">
        <v>339</v>
      </c>
      <c r="M88" s="388">
        <v>45380.795335648145</v>
      </c>
      <c r="N88" s="368" t="s">
        <v>356</v>
      </c>
      <c r="O88" s="368" t="s">
        <v>364</v>
      </c>
    </row>
    <row r="89" spans="1:15" ht="12.75" customHeight="1" collapsed="1">
      <c r="J89" s="413">
        <f>SUM(J80:J88)</f>
        <v>60216468.119999997</v>
      </c>
    </row>
    <row r="91" spans="1:15" ht="12.75" customHeight="1">
      <c r="A91" s="378" t="s">
        <v>640</v>
      </c>
    </row>
    <row r="92" spans="1:15" ht="30" hidden="1" outlineLevel="1">
      <c r="B92" s="384">
        <v>2024</v>
      </c>
      <c r="C92" s="384">
        <v>10</v>
      </c>
      <c r="D92" s="367" t="s">
        <v>5</v>
      </c>
      <c r="E92" s="367" t="s">
        <v>6</v>
      </c>
      <c r="F92" s="367" t="s">
        <v>641</v>
      </c>
      <c r="G92" s="385">
        <v>45383</v>
      </c>
      <c r="H92" s="367" t="s">
        <v>14</v>
      </c>
      <c r="I92" s="368" t="str">
        <f>VLOOKUP(H92,'[2]Source Codes'!A$2:B$115,2,FALSE)</f>
        <v>AP Warrant Issuance</v>
      </c>
      <c r="J92" s="412">
        <v>-1126776.82</v>
      </c>
      <c r="K92" s="385">
        <v>45383</v>
      </c>
      <c r="L92" s="387" t="s">
        <v>643</v>
      </c>
      <c r="M92" s="388">
        <v>45383.793599537035</v>
      </c>
      <c r="N92" s="368" t="s">
        <v>360</v>
      </c>
      <c r="O92" s="368" t="s">
        <v>375</v>
      </c>
    </row>
    <row r="93" spans="1:15" ht="60" hidden="1" outlineLevel="1">
      <c r="B93" s="384">
        <v>2024</v>
      </c>
      <c r="C93" s="384">
        <v>9</v>
      </c>
      <c r="D93" s="367" t="s">
        <v>5</v>
      </c>
      <c r="E93" s="367" t="s">
        <v>6</v>
      </c>
      <c r="F93" s="367" t="s">
        <v>642</v>
      </c>
      <c r="G93" s="385">
        <v>45370</v>
      </c>
      <c r="H93" s="367" t="s">
        <v>12</v>
      </c>
      <c r="I93" s="368" t="str">
        <f>VLOOKUP(H93,'[2]Source Codes'!A$2:B$115,2,FALSE)</f>
        <v>AR Direct Cash Journal</v>
      </c>
      <c r="J93" s="412">
        <v>1736522.38</v>
      </c>
      <c r="K93" s="385">
        <v>45383</v>
      </c>
      <c r="L93" s="387" t="s">
        <v>644</v>
      </c>
      <c r="M93" s="388">
        <v>45383.751747685186</v>
      </c>
      <c r="N93" s="368" t="s">
        <v>356</v>
      </c>
      <c r="O93" s="368" t="s">
        <v>368</v>
      </c>
    </row>
    <row r="94" spans="1:15" ht="12.75" customHeight="1" collapsed="1">
      <c r="J94" s="413">
        <f>SUM(J92:J93)</f>
        <v>609745.55999999982</v>
      </c>
    </row>
    <row r="96" spans="1:15" ht="12.75" customHeight="1">
      <c r="A96" s="378" t="s">
        <v>646</v>
      </c>
    </row>
    <row r="97" spans="1:15" ht="30" hidden="1" outlineLevel="1">
      <c r="B97" s="384">
        <v>2024</v>
      </c>
      <c r="C97" s="384">
        <v>10</v>
      </c>
      <c r="D97" s="367" t="s">
        <v>5</v>
      </c>
      <c r="E97" s="367" t="s">
        <v>6</v>
      </c>
      <c r="F97" s="367" t="s">
        <v>647</v>
      </c>
      <c r="G97" s="385">
        <v>45386</v>
      </c>
      <c r="H97" s="367" t="s">
        <v>14</v>
      </c>
      <c r="I97" s="368" t="str">
        <f>VLOOKUP(H97,'[2]Source Codes'!A$2:B$115,2,FALSE)</f>
        <v>AP Warrant Issuance</v>
      </c>
      <c r="J97" s="412">
        <v>-1695209.71</v>
      </c>
      <c r="K97" s="385">
        <v>45384</v>
      </c>
      <c r="L97" s="387" t="s">
        <v>654</v>
      </c>
      <c r="M97" s="388">
        <v>45384.79346064815</v>
      </c>
      <c r="N97" s="368" t="s">
        <v>356</v>
      </c>
      <c r="O97" s="368" t="s">
        <v>368</v>
      </c>
    </row>
    <row r="98" spans="1:15" ht="60" hidden="1" outlineLevel="1">
      <c r="B98" s="384">
        <v>2024</v>
      </c>
      <c r="C98" s="384">
        <v>10</v>
      </c>
      <c r="D98" s="367" t="s">
        <v>5</v>
      </c>
      <c r="E98" s="367" t="s">
        <v>6</v>
      </c>
      <c r="F98" s="367" t="s">
        <v>648</v>
      </c>
      <c r="G98" s="385">
        <v>45384</v>
      </c>
      <c r="H98" s="367" t="s">
        <v>14</v>
      </c>
      <c r="I98" s="368" t="str">
        <f>VLOOKUP(H98,'[2]Source Codes'!A$2:B$115,2,FALSE)</f>
        <v>AP Warrant Issuance</v>
      </c>
      <c r="J98" s="412">
        <v>-1274762.81</v>
      </c>
      <c r="K98" s="385">
        <v>45384</v>
      </c>
      <c r="L98" s="387" t="s">
        <v>655</v>
      </c>
      <c r="M98" s="388">
        <v>45384.79346064815</v>
      </c>
      <c r="N98" s="368" t="s">
        <v>356</v>
      </c>
      <c r="O98" s="368" t="s">
        <v>368</v>
      </c>
    </row>
    <row r="99" spans="1:15" ht="12.75" hidden="1" customHeight="1" outlineLevel="1">
      <c r="B99" s="384">
        <v>2024</v>
      </c>
      <c r="C99" s="384">
        <v>9</v>
      </c>
      <c r="D99" s="367" t="s">
        <v>5</v>
      </c>
      <c r="E99" s="367" t="s">
        <v>6</v>
      </c>
      <c r="F99" s="367" t="s">
        <v>649</v>
      </c>
      <c r="G99" s="385">
        <v>45371</v>
      </c>
      <c r="H99" s="367" t="s">
        <v>9</v>
      </c>
      <c r="I99" s="368" t="str">
        <f>VLOOKUP(H99,'[2]Source Codes'!A$2:B$115,2,FALSE)</f>
        <v>On Line Journal Entries</v>
      </c>
      <c r="J99" s="412">
        <v>30803995.719999999</v>
      </c>
      <c r="K99" s="385">
        <v>45384</v>
      </c>
      <c r="L99" s="387" t="s">
        <v>653</v>
      </c>
      <c r="M99" s="388">
        <v>45384.869733796295</v>
      </c>
      <c r="N99" s="368" t="s">
        <v>361</v>
      </c>
      <c r="O99" s="368" t="s">
        <v>370</v>
      </c>
    </row>
    <row r="100" spans="1:15" ht="75" hidden="1" outlineLevel="1">
      <c r="B100" s="384">
        <v>2024</v>
      </c>
      <c r="C100" s="384">
        <v>9</v>
      </c>
      <c r="D100" s="367" t="s">
        <v>5</v>
      </c>
      <c r="E100" s="367" t="s">
        <v>6</v>
      </c>
      <c r="F100" s="367" t="s">
        <v>650</v>
      </c>
      <c r="G100" s="385">
        <v>45378</v>
      </c>
      <c r="H100" s="367" t="s">
        <v>9</v>
      </c>
      <c r="I100" s="368" t="str">
        <f>VLOOKUP(H100,'[2]Source Codes'!A$2:B$115,2,FALSE)</f>
        <v>On Line Journal Entries</v>
      </c>
      <c r="J100" s="412">
        <v>16497946</v>
      </c>
      <c r="K100" s="385">
        <v>45384</v>
      </c>
      <c r="L100" s="387" t="s">
        <v>339</v>
      </c>
      <c r="M100" s="388">
        <v>45384.869733796295</v>
      </c>
      <c r="N100" s="368" t="s">
        <v>356</v>
      </c>
      <c r="O100" s="368" t="s">
        <v>364</v>
      </c>
    </row>
    <row r="101" spans="1:15" ht="75" hidden="1" outlineLevel="1">
      <c r="B101" s="384">
        <v>2024</v>
      </c>
      <c r="C101" s="384">
        <v>9</v>
      </c>
      <c r="D101" s="367" t="s">
        <v>5</v>
      </c>
      <c r="E101" s="367" t="s">
        <v>6</v>
      </c>
      <c r="F101" s="367" t="s">
        <v>651</v>
      </c>
      <c r="G101" s="385">
        <v>45378</v>
      </c>
      <c r="H101" s="367" t="s">
        <v>9</v>
      </c>
      <c r="I101" s="368" t="str">
        <f>VLOOKUP(H101,'[2]Source Codes'!A$2:B$115,2,FALSE)</f>
        <v>On Line Journal Entries</v>
      </c>
      <c r="J101" s="412">
        <v>16142241</v>
      </c>
      <c r="K101" s="385">
        <v>45384</v>
      </c>
      <c r="L101" s="387" t="s">
        <v>339</v>
      </c>
      <c r="M101" s="388">
        <v>45384.418321759258</v>
      </c>
      <c r="N101" s="368" t="s">
        <v>356</v>
      </c>
      <c r="O101" s="368" t="s">
        <v>364</v>
      </c>
    </row>
    <row r="102" spans="1:15" ht="30" hidden="1" outlineLevel="1">
      <c r="B102" s="384">
        <v>2024</v>
      </c>
      <c r="C102" s="384">
        <v>9</v>
      </c>
      <c r="D102" s="367" t="s">
        <v>5</v>
      </c>
      <c r="E102" s="367" t="s">
        <v>6</v>
      </c>
      <c r="F102" s="367" t="s">
        <v>652</v>
      </c>
      <c r="G102" s="385">
        <v>45378</v>
      </c>
      <c r="H102" s="367" t="s">
        <v>9</v>
      </c>
      <c r="I102" s="368" t="str">
        <f>VLOOKUP(H102,'[2]Source Codes'!A$2:B$115,2,FALSE)</f>
        <v>On Line Journal Entries</v>
      </c>
      <c r="J102" s="412">
        <v>13320668.859999999</v>
      </c>
      <c r="K102" s="385">
        <v>45384</v>
      </c>
      <c r="L102" s="387" t="s">
        <v>344</v>
      </c>
      <c r="M102" s="388">
        <v>45384.869733796295</v>
      </c>
      <c r="N102" s="368" t="s">
        <v>356</v>
      </c>
      <c r="O102" s="368" t="s">
        <v>364</v>
      </c>
    </row>
    <row r="103" spans="1:15" ht="12.75" customHeight="1" collapsed="1">
      <c r="J103" s="413">
        <f>SUM(J97:J102)</f>
        <v>73794879.060000002</v>
      </c>
    </row>
    <row r="105" spans="1:15" ht="12.75" customHeight="1">
      <c r="A105" s="378" t="s">
        <v>656</v>
      </c>
    </row>
    <row r="106" spans="1:15" ht="75" hidden="1" outlineLevel="1">
      <c r="B106" s="384">
        <v>2024</v>
      </c>
      <c r="C106" s="384">
        <v>10</v>
      </c>
      <c r="D106" s="367" t="s">
        <v>5</v>
      </c>
      <c r="E106" s="367" t="s">
        <v>6</v>
      </c>
      <c r="F106" s="367" t="s">
        <v>657</v>
      </c>
      <c r="G106" s="385">
        <v>45385</v>
      </c>
      <c r="H106" s="367" t="s">
        <v>14</v>
      </c>
      <c r="I106" s="368" t="str">
        <f>VLOOKUP(H106,'[2]Source Codes'!A$2:B$115,2,FALSE)</f>
        <v>AP Warrant Issuance</v>
      </c>
      <c r="J106" s="412">
        <v>-57842134.859999999</v>
      </c>
      <c r="K106" s="385">
        <v>45385</v>
      </c>
      <c r="L106" s="387" t="s">
        <v>668</v>
      </c>
      <c r="M106" s="388">
        <v>45385.793368055558</v>
      </c>
      <c r="N106" s="368" t="s">
        <v>361</v>
      </c>
      <c r="O106" s="368" t="s">
        <v>370</v>
      </c>
    </row>
    <row r="107" spans="1:15" ht="30" hidden="1" outlineLevel="1">
      <c r="B107" s="384">
        <v>2024</v>
      </c>
      <c r="C107" s="384">
        <v>10</v>
      </c>
      <c r="D107" s="367" t="s">
        <v>5</v>
      </c>
      <c r="E107" s="367" t="s">
        <v>6</v>
      </c>
      <c r="F107" s="367" t="s">
        <v>658</v>
      </c>
      <c r="G107" s="385">
        <v>45385</v>
      </c>
      <c r="H107" s="367" t="s">
        <v>14</v>
      </c>
      <c r="I107" s="368" t="str">
        <f>VLOOKUP(H107,'[2]Source Codes'!A$2:B$115,2,FALSE)</f>
        <v>AP Warrant Issuance</v>
      </c>
      <c r="J107" s="412">
        <v>-3078427.78</v>
      </c>
      <c r="K107" s="385">
        <v>45385</v>
      </c>
      <c r="L107" s="387" t="s">
        <v>669</v>
      </c>
      <c r="M107" s="388">
        <v>45385.793368055558</v>
      </c>
      <c r="N107" s="368" t="s">
        <v>356</v>
      </c>
      <c r="O107" s="368" t="s">
        <v>368</v>
      </c>
    </row>
    <row r="108" spans="1:15" ht="30" hidden="1" outlineLevel="1">
      <c r="B108" s="384">
        <v>2024</v>
      </c>
      <c r="C108" s="384">
        <v>10</v>
      </c>
      <c r="D108" s="367" t="s">
        <v>5</v>
      </c>
      <c r="E108" s="367" t="s">
        <v>6</v>
      </c>
      <c r="F108" s="367" t="s">
        <v>659</v>
      </c>
      <c r="G108" s="385">
        <v>45385</v>
      </c>
      <c r="H108" s="367" t="s">
        <v>12</v>
      </c>
      <c r="I108" s="368" t="str">
        <f>VLOOKUP(H108,'[2]Source Codes'!A$2:B$115,2,FALSE)</f>
        <v>AR Direct Cash Journal</v>
      </c>
      <c r="J108" s="412">
        <v>4365338.71</v>
      </c>
      <c r="K108" s="385">
        <v>45385</v>
      </c>
      <c r="L108" s="387" t="s">
        <v>670</v>
      </c>
      <c r="M108" s="388">
        <v>45385.751817129632</v>
      </c>
      <c r="N108" s="368" t="s">
        <v>356</v>
      </c>
      <c r="O108" s="368" t="s">
        <v>362</v>
      </c>
    </row>
    <row r="109" spans="1:15" ht="30" hidden="1" outlineLevel="1">
      <c r="B109" s="384">
        <v>2024</v>
      </c>
      <c r="C109" s="384">
        <v>10</v>
      </c>
      <c r="D109" s="367" t="s">
        <v>5</v>
      </c>
      <c r="E109" s="367" t="s">
        <v>6</v>
      </c>
      <c r="F109" s="367" t="s">
        <v>660</v>
      </c>
      <c r="G109" s="385">
        <v>45384</v>
      </c>
      <c r="H109" s="367" t="s">
        <v>12</v>
      </c>
      <c r="I109" s="368" t="str">
        <f>VLOOKUP(H109,'[2]Source Codes'!A$2:B$115,2,FALSE)</f>
        <v>AR Direct Cash Journal</v>
      </c>
      <c r="J109" s="412">
        <v>2059348.07</v>
      </c>
      <c r="K109" s="385">
        <v>45385</v>
      </c>
      <c r="L109" s="387" t="s">
        <v>671</v>
      </c>
      <c r="M109" s="388">
        <v>45385.751817129632</v>
      </c>
      <c r="N109" s="368" t="s">
        <v>356</v>
      </c>
      <c r="O109" s="368" t="s">
        <v>362</v>
      </c>
    </row>
    <row r="110" spans="1:15" ht="30" hidden="1" outlineLevel="1">
      <c r="B110" s="384">
        <v>2024</v>
      </c>
      <c r="C110" s="384">
        <v>10</v>
      </c>
      <c r="D110" s="367" t="s">
        <v>5</v>
      </c>
      <c r="E110" s="367" t="s">
        <v>6</v>
      </c>
      <c r="F110" s="367" t="s">
        <v>661</v>
      </c>
      <c r="G110" s="385">
        <v>45384</v>
      </c>
      <c r="H110" s="367" t="s">
        <v>12</v>
      </c>
      <c r="I110" s="368" t="str">
        <f>VLOOKUP(H110,'[2]Source Codes'!A$2:B$115,2,FALSE)</f>
        <v>AR Direct Cash Journal</v>
      </c>
      <c r="J110" s="412">
        <v>1713059.47</v>
      </c>
      <c r="K110" s="385">
        <v>45385</v>
      </c>
      <c r="L110" s="387" t="s">
        <v>672</v>
      </c>
      <c r="M110" s="388">
        <v>45385.751817129632</v>
      </c>
      <c r="N110" s="368" t="s">
        <v>356</v>
      </c>
      <c r="O110" s="368" t="s">
        <v>370</v>
      </c>
    </row>
    <row r="111" spans="1:15" ht="12.75" hidden="1" customHeight="1" outlineLevel="1">
      <c r="B111" s="384">
        <v>2024</v>
      </c>
      <c r="C111" s="384">
        <v>10</v>
      </c>
      <c r="D111" s="367" t="s">
        <v>5</v>
      </c>
      <c r="E111" s="367" t="s">
        <v>6</v>
      </c>
      <c r="F111" s="367" t="s">
        <v>662</v>
      </c>
      <c r="G111" s="385">
        <v>45383</v>
      </c>
      <c r="H111" s="367" t="s">
        <v>13</v>
      </c>
      <c r="I111" s="368" t="str">
        <f>VLOOKUP(H111,'[2]Source Codes'!A$2:B$115,2,FALSE)</f>
        <v>C-IV Voucher/Payments/EBT</v>
      </c>
      <c r="J111" s="412">
        <v>-9364150.5299999993</v>
      </c>
      <c r="K111" s="385">
        <v>45385</v>
      </c>
      <c r="L111" s="387" t="s">
        <v>665</v>
      </c>
      <c r="M111" s="388">
        <v>45385.869768518518</v>
      </c>
      <c r="N111" s="368" t="s">
        <v>356</v>
      </c>
      <c r="O111" s="368" t="s">
        <v>364</v>
      </c>
    </row>
    <row r="112" spans="1:15" ht="12.75" hidden="1" customHeight="1" outlineLevel="1">
      <c r="B112" s="384">
        <v>2024</v>
      </c>
      <c r="C112" s="384">
        <v>10</v>
      </c>
      <c r="D112" s="367" t="s">
        <v>5</v>
      </c>
      <c r="E112" s="367" t="s">
        <v>6</v>
      </c>
      <c r="F112" s="367" t="s">
        <v>663</v>
      </c>
      <c r="G112" s="385">
        <v>45383</v>
      </c>
      <c r="H112" s="367" t="s">
        <v>13</v>
      </c>
      <c r="I112" s="368" t="str">
        <f>VLOOKUP(H112,'[2]Source Codes'!A$2:B$115,2,FALSE)</f>
        <v>C-IV Voucher/Payments/EBT</v>
      </c>
      <c r="J112" s="412">
        <v>-11161497.49</v>
      </c>
      <c r="K112" s="385">
        <v>45385</v>
      </c>
      <c r="L112" s="387" t="s">
        <v>666</v>
      </c>
      <c r="M112" s="388">
        <v>45385.869768518518</v>
      </c>
      <c r="N112" s="368" t="s">
        <v>356</v>
      </c>
      <c r="O112" s="368" t="s">
        <v>364</v>
      </c>
    </row>
    <row r="113" spans="1:15" ht="12.75" hidden="1" customHeight="1" outlineLevel="1">
      <c r="B113" s="384">
        <v>2024</v>
      </c>
      <c r="C113" s="384">
        <v>10</v>
      </c>
      <c r="D113" s="367" t="s">
        <v>5</v>
      </c>
      <c r="E113" s="367" t="s">
        <v>6</v>
      </c>
      <c r="F113" s="367" t="s">
        <v>664</v>
      </c>
      <c r="G113" s="385">
        <v>45383</v>
      </c>
      <c r="H113" s="367" t="s">
        <v>13</v>
      </c>
      <c r="I113" s="368" t="str">
        <f>VLOOKUP(H113,'[2]Source Codes'!A$2:B$115,2,FALSE)</f>
        <v>C-IV Voucher/Payments/EBT</v>
      </c>
      <c r="J113" s="412">
        <v>-16353382.26</v>
      </c>
      <c r="K113" s="385">
        <v>45385</v>
      </c>
      <c r="L113" s="387" t="s">
        <v>667</v>
      </c>
      <c r="M113" s="388">
        <v>45385.869768518518</v>
      </c>
      <c r="N113" s="368" t="s">
        <v>356</v>
      </c>
      <c r="O113" s="368" t="s">
        <v>364</v>
      </c>
    </row>
    <row r="114" spans="1:15" ht="12.75" customHeight="1" collapsed="1">
      <c r="J114" s="413">
        <f>SUM(J106:J113)</f>
        <v>-89661846.670000002</v>
      </c>
    </row>
    <row r="116" spans="1:15" ht="12.75" customHeight="1">
      <c r="A116" s="378" t="s">
        <v>673</v>
      </c>
    </row>
    <row r="117" spans="1:15" ht="60" hidden="1" outlineLevel="1">
      <c r="B117" s="384">
        <v>2024</v>
      </c>
      <c r="C117" s="384">
        <v>10</v>
      </c>
      <c r="D117" s="367" t="s">
        <v>5</v>
      </c>
      <c r="E117" s="367" t="s">
        <v>6</v>
      </c>
      <c r="F117" s="367" t="s">
        <v>674</v>
      </c>
      <c r="G117" s="385">
        <v>45386</v>
      </c>
      <c r="H117" s="367" t="s">
        <v>14</v>
      </c>
      <c r="I117" s="368" t="str">
        <f>VLOOKUP(H117,'[2]Source Codes'!A$2:B$115,2,FALSE)</f>
        <v>AP Warrant Issuance</v>
      </c>
      <c r="J117" s="412">
        <v>-7978290.0099999998</v>
      </c>
      <c r="K117" s="385">
        <v>45386</v>
      </c>
      <c r="L117" s="387" t="s">
        <v>686</v>
      </c>
      <c r="M117" s="388">
        <v>45386.793379629627</v>
      </c>
      <c r="N117" s="368" t="s">
        <v>356</v>
      </c>
      <c r="O117" s="368" t="s">
        <v>364</v>
      </c>
    </row>
    <row r="118" spans="1:15" ht="30" hidden="1" outlineLevel="1">
      <c r="B118" s="384">
        <v>2024</v>
      </c>
      <c r="C118" s="384">
        <v>10</v>
      </c>
      <c r="D118" s="367" t="s">
        <v>5</v>
      </c>
      <c r="E118" s="367" t="s">
        <v>6</v>
      </c>
      <c r="F118" s="367" t="s">
        <v>675</v>
      </c>
      <c r="G118" s="385">
        <v>45386</v>
      </c>
      <c r="H118" s="367" t="s">
        <v>12</v>
      </c>
      <c r="I118" s="368" t="str">
        <f>VLOOKUP(H118,'[2]Source Codes'!A$2:B$115,2,FALSE)</f>
        <v>AR Direct Cash Journal</v>
      </c>
      <c r="J118" s="412">
        <v>1221962.81</v>
      </c>
      <c r="K118" s="385">
        <v>45386</v>
      </c>
      <c r="L118" s="387" t="s">
        <v>687</v>
      </c>
      <c r="M118" s="388">
        <v>45386.751793981479</v>
      </c>
      <c r="N118" s="368" t="s">
        <v>356</v>
      </c>
      <c r="O118" s="368" t="s">
        <v>370</v>
      </c>
    </row>
    <row r="119" spans="1:15" ht="15" hidden="1" outlineLevel="1">
      <c r="B119" s="384">
        <v>2024</v>
      </c>
      <c r="C119" s="384">
        <v>9</v>
      </c>
      <c r="D119" s="367" t="s">
        <v>5</v>
      </c>
      <c r="E119" s="367" t="s">
        <v>6</v>
      </c>
      <c r="F119" s="367" t="s">
        <v>676</v>
      </c>
      <c r="G119" s="385">
        <v>45378</v>
      </c>
      <c r="H119" s="367" t="s">
        <v>9</v>
      </c>
      <c r="I119" s="368" t="str">
        <f>VLOOKUP(H119,'[2]Source Codes'!A$2:B$115,2,FALSE)</f>
        <v>On Line Journal Entries</v>
      </c>
      <c r="J119" s="412">
        <v>20996081.420000002</v>
      </c>
      <c r="K119" s="385">
        <v>45386</v>
      </c>
      <c r="L119" s="387" t="s">
        <v>680</v>
      </c>
      <c r="M119" s="388">
        <v>45386.455347222225</v>
      </c>
      <c r="N119" s="368" t="s">
        <v>356</v>
      </c>
      <c r="O119" s="368" t="s">
        <v>371</v>
      </c>
    </row>
    <row r="120" spans="1:15" ht="53.25" hidden="1" customHeight="1" outlineLevel="1">
      <c r="B120" s="384">
        <v>2024</v>
      </c>
      <c r="C120" s="384">
        <v>9</v>
      </c>
      <c r="D120" s="367" t="s">
        <v>5</v>
      </c>
      <c r="E120" s="367" t="s">
        <v>6</v>
      </c>
      <c r="F120" s="367" t="s">
        <v>677</v>
      </c>
      <c r="G120" s="385">
        <v>45378</v>
      </c>
      <c r="H120" s="367" t="s">
        <v>9</v>
      </c>
      <c r="I120" s="368" t="str">
        <f>VLOOKUP(H120,'[2]Source Codes'!A$2:B$115,2,FALSE)</f>
        <v>On Line Journal Entries</v>
      </c>
      <c r="J120" s="412">
        <v>9906714.4600000009</v>
      </c>
      <c r="K120" s="385">
        <v>45386</v>
      </c>
      <c r="L120" s="387" t="s">
        <v>681</v>
      </c>
      <c r="M120" s="388">
        <v>45386.491469907407</v>
      </c>
      <c r="N120" s="368" t="s">
        <v>356</v>
      </c>
      <c r="O120" s="368" t="s">
        <v>371</v>
      </c>
    </row>
    <row r="121" spans="1:15" ht="60" hidden="1" outlineLevel="1">
      <c r="B121" s="384">
        <v>2024</v>
      </c>
      <c r="C121" s="384">
        <v>9</v>
      </c>
      <c r="D121" s="367" t="s">
        <v>5</v>
      </c>
      <c r="E121" s="367" t="s">
        <v>6</v>
      </c>
      <c r="F121" s="367" t="s">
        <v>678</v>
      </c>
      <c r="G121" s="385">
        <v>45378</v>
      </c>
      <c r="H121" s="367" t="s">
        <v>9</v>
      </c>
      <c r="I121" s="368" t="str">
        <f>VLOOKUP(H121,'[2]Source Codes'!A$2:B$115,2,FALSE)</f>
        <v>On Line Journal Entries</v>
      </c>
      <c r="J121" s="412">
        <v>3348859.09</v>
      </c>
      <c r="K121" s="385">
        <v>45386</v>
      </c>
      <c r="L121" s="387" t="s">
        <v>682</v>
      </c>
      <c r="M121" s="388">
        <v>45386.457546296297</v>
      </c>
      <c r="N121" s="368" t="s">
        <v>356</v>
      </c>
      <c r="O121" s="368" t="s">
        <v>371</v>
      </c>
    </row>
    <row r="122" spans="1:15" ht="15" hidden="1" outlineLevel="1">
      <c r="B122" s="384">
        <v>2024</v>
      </c>
      <c r="C122" s="384">
        <v>9</v>
      </c>
      <c r="D122" s="367" t="s">
        <v>5</v>
      </c>
      <c r="E122" s="367" t="s">
        <v>6</v>
      </c>
      <c r="F122" s="367" t="s">
        <v>679</v>
      </c>
      <c r="G122" s="385">
        <v>45378</v>
      </c>
      <c r="H122" s="367" t="s">
        <v>9</v>
      </c>
      <c r="I122" s="368" t="str">
        <f>VLOOKUP(H122,'[2]Source Codes'!A$2:B$115,2,FALSE)</f>
        <v>On Line Journal Entries</v>
      </c>
      <c r="J122" s="412">
        <v>1433710.9</v>
      </c>
      <c r="K122" s="385">
        <v>45386</v>
      </c>
      <c r="L122" s="387" t="s">
        <v>683</v>
      </c>
      <c r="M122" s="388">
        <v>45386.481307870374</v>
      </c>
      <c r="N122" s="368" t="s">
        <v>356</v>
      </c>
      <c r="O122" s="368" t="s">
        <v>371</v>
      </c>
    </row>
    <row r="123" spans="1:15" ht="30" hidden="1" outlineLevel="1">
      <c r="B123" s="384">
        <v>2024</v>
      </c>
      <c r="C123" s="384">
        <v>9</v>
      </c>
      <c r="D123" s="367" t="s">
        <v>5</v>
      </c>
      <c r="E123" s="367" t="s">
        <v>6</v>
      </c>
      <c r="F123" s="367" t="s">
        <v>684</v>
      </c>
      <c r="G123" s="385">
        <v>45378</v>
      </c>
      <c r="H123" s="367" t="s">
        <v>9</v>
      </c>
      <c r="I123" s="368" t="str">
        <f>VLOOKUP(H123,'[2]Source Codes'!A$2:B$115,2,FALSE)</f>
        <v>On Line Journal Entries</v>
      </c>
      <c r="J123" s="412">
        <v>-1043443.94</v>
      </c>
      <c r="K123" s="385">
        <v>45386</v>
      </c>
      <c r="L123" s="387" t="s">
        <v>685</v>
      </c>
      <c r="M123" s="388">
        <v>45386.484803240739</v>
      </c>
      <c r="N123" s="368" t="s">
        <v>356</v>
      </c>
      <c r="O123" s="368" t="s">
        <v>371</v>
      </c>
    </row>
    <row r="124" spans="1:15" ht="12.75" customHeight="1" collapsed="1">
      <c r="J124" s="413">
        <f>SUM(J117:J123)</f>
        <v>27885594.73</v>
      </c>
    </row>
    <row r="126" spans="1:15" ht="12.75" customHeight="1">
      <c r="A126" s="378" t="s">
        <v>688</v>
      </c>
      <c r="F126" s="367"/>
    </row>
    <row r="127" spans="1:15" ht="12.75" hidden="1" customHeight="1" outlineLevel="1">
      <c r="B127" s="384">
        <v>2024</v>
      </c>
      <c r="C127" s="384">
        <v>10</v>
      </c>
      <c r="D127" s="367" t="s">
        <v>5</v>
      </c>
      <c r="E127" s="367" t="s">
        <v>6</v>
      </c>
      <c r="F127" s="367" t="s">
        <v>689</v>
      </c>
      <c r="G127" s="385">
        <v>45385</v>
      </c>
      <c r="H127" s="367" t="s">
        <v>7</v>
      </c>
      <c r="I127" s="368" t="str">
        <f>VLOOKUP(H127,'[2]Source Codes'!A$2:B$115,2,FALSE)</f>
        <v>HRMS Interface Journals</v>
      </c>
      <c r="J127" s="412">
        <v>-2319186.17</v>
      </c>
      <c r="K127" s="385">
        <v>45390</v>
      </c>
      <c r="L127" s="387" t="s">
        <v>350</v>
      </c>
      <c r="M127" s="388">
        <v>45390.534456018519</v>
      </c>
      <c r="N127" s="368" t="s">
        <v>378</v>
      </c>
      <c r="O127" s="368" t="s">
        <v>379</v>
      </c>
    </row>
    <row r="128" spans="1:15" ht="12.75" hidden="1" customHeight="1" outlineLevel="1">
      <c r="B128" s="384">
        <v>2024</v>
      </c>
      <c r="C128" s="384">
        <v>10</v>
      </c>
      <c r="D128" s="367" t="s">
        <v>5</v>
      </c>
      <c r="E128" s="367" t="s">
        <v>6</v>
      </c>
      <c r="F128" s="367" t="s">
        <v>690</v>
      </c>
      <c r="G128" s="385">
        <v>45385</v>
      </c>
      <c r="H128" s="367" t="s">
        <v>7</v>
      </c>
      <c r="I128" s="368" t="str">
        <f>VLOOKUP(H128,'[2]Source Codes'!A$2:B$115,2,FALSE)</f>
        <v>HRMS Interface Journals</v>
      </c>
      <c r="J128" s="412">
        <v>-10428630.35</v>
      </c>
      <c r="K128" s="385">
        <v>45390</v>
      </c>
      <c r="L128" s="387" t="s">
        <v>349</v>
      </c>
      <c r="M128" s="388">
        <v>45390.530752314815</v>
      </c>
      <c r="N128" s="368" t="s">
        <v>378</v>
      </c>
      <c r="O128" s="368" t="s">
        <v>379</v>
      </c>
    </row>
    <row r="129" spans="1:15" ht="12.75" customHeight="1" collapsed="1">
      <c r="J129" s="413">
        <f>SUM(J127:J128)</f>
        <v>-12747816.52</v>
      </c>
    </row>
    <row r="131" spans="1:15" ht="12.75" customHeight="1">
      <c r="A131" s="378" t="s">
        <v>691</v>
      </c>
    </row>
    <row r="132" spans="1:15" ht="45" hidden="1" outlineLevel="1">
      <c r="B132" s="384">
        <v>2024</v>
      </c>
      <c r="C132" s="384">
        <v>10</v>
      </c>
      <c r="D132" s="367" t="s">
        <v>5</v>
      </c>
      <c r="E132" s="367" t="s">
        <v>6</v>
      </c>
      <c r="F132" s="367" t="s">
        <v>692</v>
      </c>
      <c r="G132" s="385">
        <v>45394</v>
      </c>
      <c r="H132" s="367" t="s">
        <v>14</v>
      </c>
      <c r="I132" s="368" t="str">
        <f>VLOOKUP(H132,'[2]Source Codes'!A$2:B$115,2,FALSE)</f>
        <v>AP Warrant Issuance</v>
      </c>
      <c r="J132" s="412">
        <v>-4652722.49</v>
      </c>
      <c r="K132" s="385">
        <v>45392</v>
      </c>
      <c r="L132" s="387" t="s">
        <v>696</v>
      </c>
      <c r="M132" s="388">
        <v>45392.793576388889</v>
      </c>
      <c r="N132" s="368" t="s">
        <v>356</v>
      </c>
      <c r="O132" s="368" t="s">
        <v>364</v>
      </c>
    </row>
    <row r="133" spans="1:15" ht="60" hidden="1" outlineLevel="1">
      <c r="B133" s="384">
        <v>2024</v>
      </c>
      <c r="C133" s="384">
        <v>10</v>
      </c>
      <c r="D133" s="367" t="s">
        <v>5</v>
      </c>
      <c r="E133" s="367" t="s">
        <v>6</v>
      </c>
      <c r="F133" s="367" t="s">
        <v>693</v>
      </c>
      <c r="G133" s="385">
        <v>45392</v>
      </c>
      <c r="H133" s="367" t="s">
        <v>14</v>
      </c>
      <c r="I133" s="368" t="str">
        <f>VLOOKUP(H133,'[2]Source Codes'!A$2:B$115,2,FALSE)</f>
        <v>AP Warrant Issuance</v>
      </c>
      <c r="J133" s="412">
        <v>-3280474.34</v>
      </c>
      <c r="K133" s="385">
        <v>45392</v>
      </c>
      <c r="L133" s="387" t="s">
        <v>697</v>
      </c>
      <c r="M133" s="388">
        <v>45392.793576388889</v>
      </c>
      <c r="N133" s="368" t="s">
        <v>361</v>
      </c>
      <c r="O133" s="368" t="s">
        <v>363</v>
      </c>
    </row>
    <row r="134" spans="1:15" ht="60" hidden="1" outlineLevel="1">
      <c r="B134" s="384">
        <v>2024</v>
      </c>
      <c r="C134" s="384">
        <v>10</v>
      </c>
      <c r="D134" s="367" t="s">
        <v>5</v>
      </c>
      <c r="E134" s="367" t="s">
        <v>6</v>
      </c>
      <c r="F134" s="367" t="s">
        <v>694</v>
      </c>
      <c r="G134" s="385">
        <v>45392</v>
      </c>
      <c r="H134" s="367" t="s">
        <v>14</v>
      </c>
      <c r="I134" s="368" t="str">
        <f>VLOOKUP(H134,'[2]Source Codes'!A$2:B$115,2,FALSE)</f>
        <v>AP Warrant Issuance</v>
      </c>
      <c r="J134" s="412">
        <v>-1450040.53</v>
      </c>
      <c r="K134" s="385">
        <v>45392</v>
      </c>
      <c r="L134" s="387" t="s">
        <v>698</v>
      </c>
      <c r="M134" s="388">
        <v>45392.793576388889</v>
      </c>
      <c r="N134" s="368" t="s">
        <v>356</v>
      </c>
      <c r="O134" s="368" t="s">
        <v>368</v>
      </c>
    </row>
    <row r="135" spans="1:15" ht="30" hidden="1" outlineLevel="1">
      <c r="B135" s="384">
        <v>2024</v>
      </c>
      <c r="C135" s="384">
        <v>10</v>
      </c>
      <c r="D135" s="367" t="s">
        <v>5</v>
      </c>
      <c r="E135" s="367" t="s">
        <v>6</v>
      </c>
      <c r="F135" s="367" t="s">
        <v>695</v>
      </c>
      <c r="G135" s="385">
        <v>45394</v>
      </c>
      <c r="H135" s="367" t="s">
        <v>14</v>
      </c>
      <c r="I135" s="368" t="str">
        <f>VLOOKUP(H135,'[2]Source Codes'!A$2:B$115,2,FALSE)</f>
        <v>AP Warrant Issuance</v>
      </c>
      <c r="J135" s="412">
        <v>-1197617.17</v>
      </c>
      <c r="K135" s="385">
        <v>45392</v>
      </c>
      <c r="L135" s="387" t="s">
        <v>699</v>
      </c>
      <c r="M135" s="388">
        <v>45392.793576388889</v>
      </c>
      <c r="N135" s="368" t="s">
        <v>356</v>
      </c>
      <c r="O135" s="368" t="s">
        <v>368</v>
      </c>
    </row>
    <row r="136" spans="1:15" ht="12.75" customHeight="1" collapsed="1">
      <c r="J136" s="413">
        <f>SUM(J132:J135)</f>
        <v>-10580854.529999999</v>
      </c>
    </row>
    <row r="138" spans="1:15" ht="12.75" customHeight="1">
      <c r="A138" s="378" t="s">
        <v>700</v>
      </c>
    </row>
    <row r="139" spans="1:15" ht="12.75" hidden="1" customHeight="1" outlineLevel="1">
      <c r="B139" s="384">
        <v>2024</v>
      </c>
      <c r="C139" s="384">
        <v>10</v>
      </c>
      <c r="D139" s="367" t="s">
        <v>5</v>
      </c>
      <c r="E139" s="367" t="s">
        <v>6</v>
      </c>
      <c r="F139" s="367" t="s">
        <v>706</v>
      </c>
      <c r="G139" s="385">
        <v>45385</v>
      </c>
      <c r="H139" s="367" t="s">
        <v>7</v>
      </c>
      <c r="I139" s="368" t="str">
        <f>VLOOKUP(H139,'[2]Source Codes'!A$2:B$115,2,FALSE)</f>
        <v>HRMS Interface Journals</v>
      </c>
      <c r="J139" s="412">
        <v>-65233003.039999999</v>
      </c>
      <c r="K139" s="385">
        <v>45393</v>
      </c>
      <c r="L139" s="387" t="s">
        <v>348</v>
      </c>
      <c r="M139" s="388">
        <v>45393.318495370368</v>
      </c>
      <c r="N139" s="368" t="s">
        <v>378</v>
      </c>
      <c r="O139" s="368" t="s">
        <v>379</v>
      </c>
    </row>
    <row r="140" spans="1:15" ht="30" hidden="1" outlineLevel="1">
      <c r="B140" s="384">
        <v>2024</v>
      </c>
      <c r="C140" s="384">
        <v>10</v>
      </c>
      <c r="D140" s="367" t="s">
        <v>5</v>
      </c>
      <c r="E140" s="367" t="s">
        <v>6</v>
      </c>
      <c r="F140" s="367" t="s">
        <v>701</v>
      </c>
      <c r="G140" s="385">
        <v>45392</v>
      </c>
      <c r="H140" s="367" t="s">
        <v>9</v>
      </c>
      <c r="I140" s="368" t="str">
        <f>VLOOKUP(H140,'[2]Source Codes'!A$2:B$115,2,FALSE)</f>
        <v>On Line Journal Entries</v>
      </c>
      <c r="J140" s="412">
        <v>-30803995.719999999</v>
      </c>
      <c r="K140" s="385">
        <v>45393</v>
      </c>
      <c r="L140" s="387" t="s">
        <v>653</v>
      </c>
      <c r="M140" s="388">
        <v>45393.869976851849</v>
      </c>
      <c r="N140" s="368" t="s">
        <v>360</v>
      </c>
      <c r="O140" s="368" t="s">
        <v>370</v>
      </c>
    </row>
    <row r="141" spans="1:15" ht="12.75" hidden="1" customHeight="1" outlineLevel="1">
      <c r="B141" s="384">
        <v>2024</v>
      </c>
      <c r="C141" s="384">
        <v>10</v>
      </c>
      <c r="D141" s="367" t="s">
        <v>5</v>
      </c>
      <c r="E141" s="367" t="s">
        <v>6</v>
      </c>
      <c r="F141" s="367" t="s">
        <v>702</v>
      </c>
      <c r="G141" s="385">
        <v>45384</v>
      </c>
      <c r="H141" s="367" t="s">
        <v>9</v>
      </c>
      <c r="I141" s="368" t="str">
        <f>VLOOKUP(H141,'[2]Source Codes'!A$2:B$115,2,FALSE)</f>
        <v>On Line Journal Entries</v>
      </c>
      <c r="J141" s="412">
        <v>-1542083</v>
      </c>
      <c r="K141" s="385">
        <v>45393</v>
      </c>
      <c r="L141" s="387" t="s">
        <v>707</v>
      </c>
      <c r="M141" s="388">
        <v>45393.869976851849</v>
      </c>
      <c r="N141" s="368" t="s">
        <v>356</v>
      </c>
      <c r="O141" s="368" t="s">
        <v>368</v>
      </c>
    </row>
    <row r="142" spans="1:15" ht="45" hidden="1" outlineLevel="1">
      <c r="B142" s="384">
        <v>2024</v>
      </c>
      <c r="C142" s="384">
        <v>10</v>
      </c>
      <c r="D142" s="367" t="s">
        <v>5</v>
      </c>
      <c r="E142" s="367" t="s">
        <v>6</v>
      </c>
      <c r="F142" s="367" t="s">
        <v>703</v>
      </c>
      <c r="G142" s="385">
        <v>45385</v>
      </c>
      <c r="H142" s="367" t="s">
        <v>9</v>
      </c>
      <c r="I142" s="368" t="str">
        <f>VLOOKUP(H142,'[2]Source Codes'!A$2:B$115,2,FALSE)</f>
        <v>On Line Journal Entries</v>
      </c>
      <c r="J142" s="412">
        <v>-1388505</v>
      </c>
      <c r="K142" s="385">
        <v>45393</v>
      </c>
      <c r="L142" s="387" t="s">
        <v>708</v>
      </c>
      <c r="M142" s="388">
        <v>45393.492407407408</v>
      </c>
      <c r="N142" s="368" t="s">
        <v>372</v>
      </c>
      <c r="O142" s="368" t="s">
        <v>358</v>
      </c>
    </row>
    <row r="143" spans="1:15" ht="12.75" hidden="1" customHeight="1" outlineLevel="1">
      <c r="B143" s="384">
        <v>2024</v>
      </c>
      <c r="C143" s="384">
        <v>10</v>
      </c>
      <c r="D143" s="367" t="s">
        <v>5</v>
      </c>
      <c r="E143" s="367" t="s">
        <v>6</v>
      </c>
      <c r="F143" s="367" t="s">
        <v>704</v>
      </c>
      <c r="G143" s="385">
        <v>45393</v>
      </c>
      <c r="H143" s="367" t="s">
        <v>9</v>
      </c>
      <c r="I143" s="368" t="str">
        <f>VLOOKUP(H143,'[2]Source Codes'!A$2:B$115,2,FALSE)</f>
        <v>On Line Journal Entries</v>
      </c>
      <c r="J143" s="412">
        <v>23899411</v>
      </c>
      <c r="K143" s="385">
        <v>45393</v>
      </c>
      <c r="L143" s="387" t="s">
        <v>653</v>
      </c>
      <c r="M143" s="388">
        <v>45393.869976851849</v>
      </c>
      <c r="N143" s="368" t="s">
        <v>360</v>
      </c>
      <c r="O143" s="368" t="s">
        <v>370</v>
      </c>
    </row>
    <row r="144" spans="1:15" ht="12.75" hidden="1" customHeight="1" outlineLevel="1">
      <c r="B144" s="384">
        <v>2024</v>
      </c>
      <c r="C144" s="384">
        <v>10</v>
      </c>
      <c r="D144" s="367" t="s">
        <v>5</v>
      </c>
      <c r="E144" s="367" t="s">
        <v>6</v>
      </c>
      <c r="F144" s="367" t="s">
        <v>705</v>
      </c>
      <c r="G144" s="385">
        <v>45391</v>
      </c>
      <c r="H144" s="367" t="s">
        <v>16</v>
      </c>
      <c r="I144" s="368" t="str">
        <f>VLOOKUP(H144,'[2]Source Codes'!A$2:B$115,2,FALSE)</f>
        <v>Property Tax Interface</v>
      </c>
      <c r="J144" s="412">
        <v>32341199.579999998</v>
      </c>
      <c r="K144" s="385">
        <v>45393</v>
      </c>
      <c r="L144" s="387" t="s">
        <v>709</v>
      </c>
      <c r="M144" s="388">
        <v>45393.65283564815</v>
      </c>
      <c r="N144" s="368" t="s">
        <v>361</v>
      </c>
      <c r="O144" s="368" t="s">
        <v>384</v>
      </c>
    </row>
    <row r="145" spans="1:15" ht="12.75" customHeight="1" collapsed="1">
      <c r="J145" s="413">
        <f>SUM(J139:J144)</f>
        <v>-42726976.179999992</v>
      </c>
    </row>
    <row r="147" spans="1:15" ht="12.75" customHeight="1">
      <c r="A147" s="378" t="s">
        <v>710</v>
      </c>
    </row>
    <row r="148" spans="1:15" ht="60" hidden="1" outlineLevel="1">
      <c r="B148" s="384">
        <v>2024</v>
      </c>
      <c r="C148" s="384">
        <v>10</v>
      </c>
      <c r="D148" s="367" t="s">
        <v>5</v>
      </c>
      <c r="E148" s="367" t="s">
        <v>6</v>
      </c>
      <c r="F148" s="367" t="s">
        <v>711</v>
      </c>
      <c r="G148" s="385">
        <v>45394</v>
      </c>
      <c r="H148" s="367" t="s">
        <v>14</v>
      </c>
      <c r="I148" s="368" t="str">
        <f>VLOOKUP(H148,'[2]Source Codes'!A$2:B$115,2,FALSE)</f>
        <v>AP Warrant Issuance</v>
      </c>
      <c r="J148" s="412">
        <v>-6288097.5899999999</v>
      </c>
      <c r="K148" s="385">
        <v>45394</v>
      </c>
      <c r="L148" s="387" t="s">
        <v>713</v>
      </c>
      <c r="M148" s="388">
        <v>45394.793576388889</v>
      </c>
      <c r="N148" s="368" t="s">
        <v>372</v>
      </c>
      <c r="O148" s="368" t="s">
        <v>358</v>
      </c>
    </row>
    <row r="149" spans="1:15" ht="30" hidden="1" outlineLevel="1">
      <c r="B149" s="384">
        <v>2024</v>
      </c>
      <c r="C149" s="384">
        <v>10</v>
      </c>
      <c r="D149" s="367" t="s">
        <v>5</v>
      </c>
      <c r="E149" s="367" t="s">
        <v>6</v>
      </c>
      <c r="F149" s="367" t="s">
        <v>712</v>
      </c>
      <c r="G149" s="385">
        <v>45394</v>
      </c>
      <c r="H149" s="367" t="s">
        <v>14</v>
      </c>
      <c r="I149" s="368" t="str">
        <f>VLOOKUP(H149,'[2]Source Codes'!A$2:B$115,2,FALSE)</f>
        <v>AP Warrant Issuance</v>
      </c>
      <c r="J149" s="412">
        <v>-1517186.62</v>
      </c>
      <c r="K149" s="385">
        <v>45394</v>
      </c>
      <c r="L149" s="387" t="s">
        <v>714</v>
      </c>
      <c r="M149" s="388">
        <v>45394.793576388889</v>
      </c>
      <c r="N149" s="368" t="s">
        <v>360</v>
      </c>
      <c r="O149" s="368" t="s">
        <v>357</v>
      </c>
    </row>
    <row r="150" spans="1:15" ht="12.75" customHeight="1" collapsed="1">
      <c r="J150" s="413">
        <f>SUM(J148:J149)</f>
        <v>-7805284.21</v>
      </c>
    </row>
    <row r="152" spans="1:15" ht="12.75" customHeight="1">
      <c r="A152" s="378" t="s">
        <v>715</v>
      </c>
    </row>
    <row r="153" spans="1:15" ht="30" hidden="1" outlineLevel="1">
      <c r="B153" s="384">
        <v>2024</v>
      </c>
      <c r="C153" s="384">
        <v>10</v>
      </c>
      <c r="D153" s="367" t="s">
        <v>5</v>
      </c>
      <c r="E153" s="367" t="s">
        <v>6</v>
      </c>
      <c r="F153" s="367" t="s">
        <v>716</v>
      </c>
      <c r="G153" s="385">
        <v>45399</v>
      </c>
      <c r="H153" s="367" t="s">
        <v>14</v>
      </c>
      <c r="I153" s="368" t="str">
        <f>VLOOKUP(H153,'[2]Source Codes'!A$2:B$115,2,FALSE)</f>
        <v>AP Warrant Issuance</v>
      </c>
      <c r="J153" s="412">
        <v>-1544638.41</v>
      </c>
      <c r="K153" s="385">
        <v>45397</v>
      </c>
      <c r="L153" s="387" t="s">
        <v>721</v>
      </c>
      <c r="M153" s="388">
        <v>45397.793506944443</v>
      </c>
      <c r="N153" s="368" t="s">
        <v>356</v>
      </c>
      <c r="O153" s="368" t="s">
        <v>368</v>
      </c>
    </row>
    <row r="154" spans="1:15" ht="30" hidden="1" outlineLevel="1">
      <c r="B154" s="384">
        <v>2024</v>
      </c>
      <c r="C154" s="384">
        <v>10</v>
      </c>
      <c r="D154" s="367" t="s">
        <v>5</v>
      </c>
      <c r="E154" s="367" t="s">
        <v>6</v>
      </c>
      <c r="F154" s="367" t="s">
        <v>717</v>
      </c>
      <c r="G154" s="385">
        <v>45397</v>
      </c>
      <c r="H154" s="367" t="s">
        <v>14</v>
      </c>
      <c r="I154" s="368" t="str">
        <f>VLOOKUP(H154,'[2]Source Codes'!A$2:B$115,2,FALSE)</f>
        <v>AP Warrant Issuance</v>
      </c>
      <c r="J154" s="412">
        <v>-1016719.84</v>
      </c>
      <c r="K154" s="385">
        <v>45397</v>
      </c>
      <c r="L154" s="387" t="s">
        <v>722</v>
      </c>
      <c r="M154" s="388">
        <v>45397.793506944443</v>
      </c>
      <c r="N154" s="368" t="s">
        <v>360</v>
      </c>
      <c r="O154" s="368" t="s">
        <v>364</v>
      </c>
    </row>
    <row r="155" spans="1:15" ht="75" hidden="1" outlineLevel="1">
      <c r="B155" s="384">
        <v>2024</v>
      </c>
      <c r="C155" s="384">
        <v>10</v>
      </c>
      <c r="D155" s="367" t="s">
        <v>5</v>
      </c>
      <c r="E155" s="367" t="s">
        <v>6</v>
      </c>
      <c r="F155" s="367" t="s">
        <v>718</v>
      </c>
      <c r="G155" s="385">
        <v>45384</v>
      </c>
      <c r="H155" s="367" t="s">
        <v>12</v>
      </c>
      <c r="I155" s="368" t="str">
        <f>VLOOKUP(H155,'[2]Source Codes'!A$2:B$115,2,FALSE)</f>
        <v>AR Direct Cash Journal</v>
      </c>
      <c r="J155" s="412">
        <v>24537150.989999998</v>
      </c>
      <c r="K155" s="385">
        <v>45397</v>
      </c>
      <c r="L155" s="387" t="s">
        <v>723</v>
      </c>
      <c r="M155" s="388">
        <v>45397.751956018517</v>
      </c>
      <c r="N155" s="368" t="s">
        <v>356</v>
      </c>
      <c r="O155" s="368" t="s">
        <v>368</v>
      </c>
    </row>
    <row r="156" spans="1:15" ht="39.75" hidden="1" customHeight="1" outlineLevel="1">
      <c r="B156" s="384">
        <v>2024</v>
      </c>
      <c r="C156" s="384">
        <v>10</v>
      </c>
      <c r="D156" s="367" t="s">
        <v>5</v>
      </c>
      <c r="E156" s="367" t="s">
        <v>6</v>
      </c>
      <c r="F156" s="367" t="s">
        <v>719</v>
      </c>
      <c r="G156" s="385">
        <v>45392</v>
      </c>
      <c r="H156" s="367" t="s">
        <v>9</v>
      </c>
      <c r="I156" s="368" t="str">
        <f>VLOOKUP(H156,'[2]Source Codes'!A$2:B$115,2,FALSE)</f>
        <v>On Line Journal Entries</v>
      </c>
      <c r="J156" s="412">
        <v>-2000000</v>
      </c>
      <c r="K156" s="385">
        <v>45397</v>
      </c>
      <c r="L156" s="387" t="s">
        <v>720</v>
      </c>
      <c r="M156" s="388">
        <v>45397.407766203702</v>
      </c>
      <c r="N156" s="368" t="s">
        <v>360</v>
      </c>
      <c r="O156" s="368" t="s">
        <v>358</v>
      </c>
    </row>
    <row r="157" spans="1:15" ht="12.75" customHeight="1" collapsed="1">
      <c r="J157" s="413">
        <f>SUM(J153:J156)</f>
        <v>19975792.739999998</v>
      </c>
    </row>
    <row r="159" spans="1:15" ht="12.75" customHeight="1">
      <c r="A159" s="378" t="s">
        <v>724</v>
      </c>
    </row>
    <row r="160" spans="1:15" ht="30" hidden="1" outlineLevel="1">
      <c r="B160" s="384">
        <v>2024</v>
      </c>
      <c r="C160" s="384">
        <v>10</v>
      </c>
      <c r="D160" s="367" t="s">
        <v>5</v>
      </c>
      <c r="E160" s="367" t="s">
        <v>6</v>
      </c>
      <c r="F160" s="367" t="s">
        <v>725</v>
      </c>
      <c r="G160" s="385">
        <v>45393</v>
      </c>
      <c r="H160" s="367" t="s">
        <v>12</v>
      </c>
      <c r="I160" s="368" t="str">
        <f>VLOOKUP(H160,'[2]Source Codes'!A$2:B$115,2,FALSE)</f>
        <v>AR Direct Cash Journal</v>
      </c>
      <c r="J160" s="412">
        <v>1026804</v>
      </c>
      <c r="K160" s="385">
        <v>45398</v>
      </c>
      <c r="L160" s="387" t="s">
        <v>730</v>
      </c>
      <c r="M160" s="388">
        <v>45398.751747685186</v>
      </c>
      <c r="N160" s="368" t="s">
        <v>356</v>
      </c>
      <c r="O160" s="368" t="s">
        <v>368</v>
      </c>
    </row>
    <row r="161" spans="1:15" ht="30" hidden="1" outlineLevel="1">
      <c r="B161" s="384">
        <v>2024</v>
      </c>
      <c r="C161" s="384">
        <v>10</v>
      </c>
      <c r="D161" s="367" t="s">
        <v>5</v>
      </c>
      <c r="E161" s="367" t="s">
        <v>6</v>
      </c>
      <c r="F161" s="367" t="s">
        <v>726</v>
      </c>
      <c r="G161" s="385">
        <v>45390</v>
      </c>
      <c r="H161" s="367" t="s">
        <v>9</v>
      </c>
      <c r="I161" s="368" t="str">
        <f>VLOOKUP(H161,'[2]Source Codes'!A$2:B$115,2,FALSE)</f>
        <v>On Line Journal Entries</v>
      </c>
      <c r="J161" s="412">
        <v>17049633</v>
      </c>
      <c r="K161" s="385">
        <v>45398</v>
      </c>
      <c r="L161" s="387" t="s">
        <v>729</v>
      </c>
      <c r="M161" s="388">
        <v>45398.870092592595</v>
      </c>
      <c r="N161" s="368" t="s">
        <v>356</v>
      </c>
      <c r="O161" s="368" t="s">
        <v>368</v>
      </c>
    </row>
    <row r="162" spans="1:15" ht="15" hidden="1" outlineLevel="1">
      <c r="B162" s="384">
        <v>2024</v>
      </c>
      <c r="C162" s="384">
        <v>10</v>
      </c>
      <c r="D162" s="367" t="s">
        <v>5</v>
      </c>
      <c r="E162" s="367" t="s">
        <v>6</v>
      </c>
      <c r="F162" s="367" t="s">
        <v>727</v>
      </c>
      <c r="G162" s="385">
        <v>45389</v>
      </c>
      <c r="H162" s="367" t="s">
        <v>337</v>
      </c>
      <c r="I162" s="368" t="str">
        <f>VLOOKUP(H162,'[2]Source Codes'!A$2:B$115,2,FALSE)</f>
        <v>Facilities Mngmnt Intfc Jrnls</v>
      </c>
      <c r="J162" s="412">
        <v>-1771735.33</v>
      </c>
      <c r="K162" s="385">
        <v>45398</v>
      </c>
      <c r="L162" s="387" t="s">
        <v>728</v>
      </c>
      <c r="M162" s="388">
        <v>45398.349374999998</v>
      </c>
      <c r="N162" s="368" t="s">
        <v>356</v>
      </c>
      <c r="O162" s="368" t="s">
        <v>367</v>
      </c>
    </row>
    <row r="163" spans="1:15" ht="12.75" customHeight="1" collapsed="1">
      <c r="J163" s="413">
        <f>SUM(J160:J162)</f>
        <v>16304701.67</v>
      </c>
    </row>
    <row r="165" spans="1:15" ht="12.75" customHeight="1">
      <c r="A165" s="378" t="s">
        <v>732</v>
      </c>
    </row>
    <row r="166" spans="1:15" ht="12.75" hidden="1" customHeight="1" outlineLevel="1">
      <c r="B166" s="384">
        <v>2024</v>
      </c>
      <c r="C166" s="384">
        <v>10</v>
      </c>
      <c r="D166" s="367" t="s">
        <v>5</v>
      </c>
      <c r="E166" s="367" t="s">
        <v>6</v>
      </c>
      <c r="F166" s="367" t="s">
        <v>733</v>
      </c>
      <c r="G166" s="385">
        <v>45398</v>
      </c>
      <c r="H166" s="367" t="s">
        <v>9</v>
      </c>
      <c r="I166" s="368" t="str">
        <f>VLOOKUP(H166,'[2]Source Codes'!A$2:B$115,2,FALSE)</f>
        <v>On Line Journal Entries</v>
      </c>
      <c r="J166" s="412">
        <v>4564948</v>
      </c>
      <c r="K166" s="385">
        <v>45399</v>
      </c>
      <c r="L166" s="387" t="s">
        <v>734</v>
      </c>
      <c r="M166" s="388">
        <v>45399.870115740741</v>
      </c>
      <c r="N166" s="368" t="s">
        <v>356</v>
      </c>
      <c r="O166" s="368" t="s">
        <v>369</v>
      </c>
    </row>
    <row r="167" spans="1:15" ht="12.75" customHeight="1" collapsed="1">
      <c r="J167" s="413">
        <f>SUM(J166)</f>
        <v>4564948</v>
      </c>
    </row>
    <row r="169" spans="1:15" ht="12.75" customHeight="1">
      <c r="A169" s="378" t="s">
        <v>735</v>
      </c>
    </row>
    <row r="170" spans="1:15" ht="30" hidden="1" outlineLevel="1">
      <c r="B170" s="384">
        <v>2024</v>
      </c>
      <c r="C170" s="384">
        <v>10</v>
      </c>
      <c r="D170" s="367" t="s">
        <v>5</v>
      </c>
      <c r="E170" s="367" t="s">
        <v>6</v>
      </c>
      <c r="F170" s="367" t="s">
        <v>736</v>
      </c>
      <c r="G170" s="385">
        <v>45400</v>
      </c>
      <c r="H170" s="367" t="s">
        <v>14</v>
      </c>
      <c r="I170" s="368" t="str">
        <f>VLOOKUP(H170,'[2]Source Codes'!A$2:B$115,2,FALSE)</f>
        <v>AP Warrant Issuance</v>
      </c>
      <c r="J170" s="412">
        <v>-1076678.42</v>
      </c>
      <c r="K170" s="385">
        <v>45400</v>
      </c>
      <c r="L170" s="387" t="s">
        <v>741</v>
      </c>
      <c r="M170" s="388">
        <v>45400.793622685182</v>
      </c>
      <c r="N170" s="368" t="s">
        <v>356</v>
      </c>
      <c r="O170" s="368" t="s">
        <v>368</v>
      </c>
    </row>
    <row r="171" spans="1:15" ht="45" hidden="1" outlineLevel="1">
      <c r="B171" s="384">
        <v>2024</v>
      </c>
      <c r="C171" s="384">
        <v>10</v>
      </c>
      <c r="D171" s="367" t="s">
        <v>5</v>
      </c>
      <c r="E171" s="367" t="s">
        <v>6</v>
      </c>
      <c r="F171" s="367" t="s">
        <v>737</v>
      </c>
      <c r="G171" s="385">
        <v>45393</v>
      </c>
      <c r="H171" s="367" t="s">
        <v>11</v>
      </c>
      <c r="I171" s="368" t="str">
        <f>VLOOKUP(H171,'[2]Source Codes'!A$2:B$115,2,FALSE)</f>
        <v>AR Payments</v>
      </c>
      <c r="J171" s="412">
        <v>3882845.88</v>
      </c>
      <c r="K171" s="385">
        <v>45400</v>
      </c>
      <c r="L171" s="387" t="s">
        <v>743</v>
      </c>
      <c r="M171" s="388">
        <v>45400.751898148148</v>
      </c>
      <c r="N171" s="368" t="s">
        <v>356</v>
      </c>
      <c r="O171" s="368" t="s">
        <v>357</v>
      </c>
    </row>
    <row r="172" spans="1:15" ht="30" hidden="1" outlineLevel="1">
      <c r="B172" s="384">
        <v>2024</v>
      </c>
      <c r="C172" s="384">
        <v>10</v>
      </c>
      <c r="D172" s="367" t="s">
        <v>5</v>
      </c>
      <c r="E172" s="367" t="s">
        <v>6</v>
      </c>
      <c r="F172" s="367" t="s">
        <v>738</v>
      </c>
      <c r="G172" s="385">
        <v>45399</v>
      </c>
      <c r="H172" s="367" t="s">
        <v>12</v>
      </c>
      <c r="I172" s="368" t="str">
        <f>VLOOKUP(H172,'[2]Source Codes'!A$2:B$115,2,FALSE)</f>
        <v>AR Direct Cash Journal</v>
      </c>
      <c r="J172" s="412">
        <v>2052978.13</v>
      </c>
      <c r="K172" s="385">
        <v>45400</v>
      </c>
      <c r="L172" s="387" t="s">
        <v>742</v>
      </c>
      <c r="M172" s="388">
        <v>45400.751898148148</v>
      </c>
      <c r="N172" s="368" t="s">
        <v>356</v>
      </c>
      <c r="O172" s="368" t="s">
        <v>362</v>
      </c>
    </row>
    <row r="173" spans="1:15" ht="45" hidden="1" outlineLevel="1">
      <c r="B173" s="384">
        <v>2024</v>
      </c>
      <c r="C173" s="384">
        <v>10</v>
      </c>
      <c r="D173" s="367" t="s">
        <v>5</v>
      </c>
      <c r="E173" s="367" t="s">
        <v>6</v>
      </c>
      <c r="F173" s="367" t="s">
        <v>739</v>
      </c>
      <c r="G173" s="385">
        <v>45399</v>
      </c>
      <c r="H173" s="367" t="s">
        <v>11</v>
      </c>
      <c r="I173" s="368" t="str">
        <f>VLOOKUP(H173,'[2]Source Codes'!A$2:B$115,2,FALSE)</f>
        <v>AR Payments</v>
      </c>
      <c r="J173" s="412">
        <v>1424865.07</v>
      </c>
      <c r="K173" s="385">
        <v>45400</v>
      </c>
      <c r="L173" s="387" t="s">
        <v>744</v>
      </c>
      <c r="M173" s="388">
        <v>45400.751898148148</v>
      </c>
      <c r="N173" s="368" t="s">
        <v>356</v>
      </c>
      <c r="O173" s="368" t="s">
        <v>357</v>
      </c>
    </row>
    <row r="174" spans="1:15" ht="30" hidden="1" outlineLevel="1">
      <c r="B174" s="384">
        <v>2024</v>
      </c>
      <c r="C174" s="384">
        <v>10</v>
      </c>
      <c r="D174" s="367" t="s">
        <v>5</v>
      </c>
      <c r="E174" s="367" t="s">
        <v>6</v>
      </c>
      <c r="F174" s="367" t="s">
        <v>740</v>
      </c>
      <c r="G174" s="385">
        <v>45384</v>
      </c>
      <c r="H174" s="367" t="s">
        <v>9</v>
      </c>
      <c r="I174" s="368" t="str">
        <f>VLOOKUP(H174,'[2]Source Codes'!A$2:B$115,2,FALSE)</f>
        <v>On Line Journal Entries</v>
      </c>
      <c r="J174" s="412">
        <v>26538883</v>
      </c>
      <c r="K174" s="385">
        <v>45400</v>
      </c>
      <c r="L174" s="387" t="s">
        <v>10</v>
      </c>
      <c r="M174" s="388">
        <v>45400.86923611111</v>
      </c>
      <c r="N174" s="368" t="s">
        <v>356</v>
      </c>
      <c r="O174" s="368" t="s">
        <v>364</v>
      </c>
    </row>
    <row r="175" spans="1:15" ht="12.75" customHeight="1" collapsed="1">
      <c r="J175" s="413">
        <f>SUM(J170:J174)</f>
        <v>32822893.66</v>
      </c>
    </row>
    <row r="177" spans="1:15" ht="12.75" customHeight="1">
      <c r="A177" s="378" t="s">
        <v>745</v>
      </c>
    </row>
    <row r="178" spans="1:15" ht="30" hidden="1" outlineLevel="1">
      <c r="B178" s="384">
        <v>2024</v>
      </c>
      <c r="C178" s="384">
        <v>10</v>
      </c>
      <c r="D178" s="367" t="s">
        <v>5</v>
      </c>
      <c r="E178" s="367" t="s">
        <v>6</v>
      </c>
      <c r="F178" s="367" t="s">
        <v>746</v>
      </c>
      <c r="G178" s="385">
        <v>45405</v>
      </c>
      <c r="H178" s="367" t="s">
        <v>14</v>
      </c>
      <c r="I178" s="368" t="str">
        <f>VLOOKUP(H178,'[2]Source Codes'!A$2:B$115,2,FALSE)</f>
        <v>AP Warrant Issuance</v>
      </c>
      <c r="J178" s="412">
        <v>-1155350.8400000001</v>
      </c>
      <c r="K178" s="385">
        <v>45401</v>
      </c>
      <c r="L178" s="387" t="s">
        <v>751</v>
      </c>
      <c r="M178" s="388">
        <v>45401.793425925927</v>
      </c>
      <c r="N178" s="368" t="s">
        <v>356</v>
      </c>
      <c r="O178" s="368" t="s">
        <v>368</v>
      </c>
    </row>
    <row r="179" spans="1:15" ht="12.75" hidden="1" customHeight="1" outlineLevel="1">
      <c r="B179" s="384">
        <v>2024</v>
      </c>
      <c r="C179" s="384">
        <v>10</v>
      </c>
      <c r="D179" s="367" t="s">
        <v>5</v>
      </c>
      <c r="E179" s="367" t="s">
        <v>6</v>
      </c>
      <c r="F179" s="367" t="s">
        <v>747</v>
      </c>
      <c r="G179" s="385">
        <v>45397</v>
      </c>
      <c r="H179" s="367" t="s">
        <v>337</v>
      </c>
      <c r="I179" s="368" t="str">
        <f>VLOOKUP(H179,'[2]Source Codes'!A$2:B$115,2,FALSE)</f>
        <v>Facilities Mngmnt Intfc Jrnls</v>
      </c>
      <c r="J179" s="412">
        <v>-4071362.63</v>
      </c>
      <c r="K179" s="385">
        <v>45401</v>
      </c>
      <c r="L179" s="387" t="s">
        <v>750</v>
      </c>
      <c r="M179" s="388">
        <v>45401.869305555556</v>
      </c>
      <c r="N179" s="368" t="s">
        <v>356</v>
      </c>
      <c r="O179" s="368" t="s">
        <v>367</v>
      </c>
    </row>
    <row r="180" spans="1:15" ht="15" hidden="1" outlineLevel="1">
      <c r="B180" s="384">
        <v>2024</v>
      </c>
      <c r="C180" s="384">
        <v>10</v>
      </c>
      <c r="D180" s="367" t="s">
        <v>5</v>
      </c>
      <c r="E180" s="367" t="s">
        <v>6</v>
      </c>
      <c r="F180" s="367" t="s">
        <v>748</v>
      </c>
      <c r="G180" s="385">
        <v>45383</v>
      </c>
      <c r="H180" s="367" t="s">
        <v>9</v>
      </c>
      <c r="I180" s="368" t="str">
        <f>VLOOKUP(H180,'[2]Source Codes'!A$2:B$115,2,FALSE)</f>
        <v>On Line Journal Entries</v>
      </c>
      <c r="J180" s="412">
        <v>-4626972.74</v>
      </c>
      <c r="K180" s="385">
        <v>45401</v>
      </c>
      <c r="L180" s="387" t="s">
        <v>749</v>
      </c>
      <c r="M180" s="388">
        <v>45401.86922453704</v>
      </c>
      <c r="N180" s="368" t="s">
        <v>356</v>
      </c>
      <c r="O180" s="368" t="s">
        <v>374</v>
      </c>
    </row>
    <row r="181" spans="1:15" ht="12.75" customHeight="1" collapsed="1">
      <c r="J181" s="413">
        <f>SUM(J178:J180)</f>
        <v>-9853686.2100000009</v>
      </c>
    </row>
    <row r="183" spans="1:15" ht="12.75" customHeight="1">
      <c r="A183" s="378" t="s">
        <v>752</v>
      </c>
    </row>
    <row r="184" spans="1:15" ht="30" hidden="1" outlineLevel="1">
      <c r="B184" s="384">
        <v>2024</v>
      </c>
      <c r="C184" s="384">
        <v>10</v>
      </c>
      <c r="D184" s="367" t="s">
        <v>5</v>
      </c>
      <c r="E184" s="367" t="s">
        <v>6</v>
      </c>
      <c r="F184" s="367" t="s">
        <v>753</v>
      </c>
      <c r="G184" s="385">
        <v>45406</v>
      </c>
      <c r="H184" s="367" t="s">
        <v>14</v>
      </c>
      <c r="I184" s="368" t="str">
        <f>VLOOKUP(H184,'[2]Source Codes'!A$2:B$115,2,FALSE)</f>
        <v>AP Warrant Issuance</v>
      </c>
      <c r="J184" s="412">
        <v>-3765333.42</v>
      </c>
      <c r="K184" s="385">
        <v>45404</v>
      </c>
      <c r="L184" s="387" t="s">
        <v>762</v>
      </c>
      <c r="M184" s="388">
        <v>45404.793564814812</v>
      </c>
      <c r="N184" s="368" t="s">
        <v>356</v>
      </c>
      <c r="O184" s="368" t="s">
        <v>368</v>
      </c>
    </row>
    <row r="185" spans="1:15" ht="30" hidden="1" outlineLevel="1">
      <c r="B185" s="384">
        <v>2024</v>
      </c>
      <c r="C185" s="384">
        <v>10</v>
      </c>
      <c r="D185" s="367" t="s">
        <v>5</v>
      </c>
      <c r="E185" s="367" t="s">
        <v>6</v>
      </c>
      <c r="F185" s="367" t="s">
        <v>754</v>
      </c>
      <c r="G185" s="385">
        <v>45404</v>
      </c>
      <c r="H185" s="367" t="s">
        <v>14</v>
      </c>
      <c r="I185" s="368" t="str">
        <f>VLOOKUP(H185,'[2]Source Codes'!A$2:B$115,2,FALSE)</f>
        <v>AP Warrant Issuance</v>
      </c>
      <c r="J185" s="412">
        <v>-1660084.1</v>
      </c>
      <c r="K185" s="385">
        <v>45404</v>
      </c>
      <c r="L185" s="387" t="s">
        <v>763</v>
      </c>
      <c r="M185" s="388">
        <v>45404.793564814812</v>
      </c>
      <c r="N185" s="368" t="s">
        <v>356</v>
      </c>
      <c r="O185" s="368" t="s">
        <v>368</v>
      </c>
    </row>
    <row r="186" spans="1:15" ht="30" hidden="1" outlineLevel="1">
      <c r="B186" s="384">
        <v>2024</v>
      </c>
      <c r="C186" s="384">
        <v>10</v>
      </c>
      <c r="D186" s="367" t="s">
        <v>5</v>
      </c>
      <c r="E186" s="367" t="s">
        <v>6</v>
      </c>
      <c r="F186" s="367" t="s">
        <v>755</v>
      </c>
      <c r="G186" s="385">
        <v>45400</v>
      </c>
      <c r="H186" s="367" t="s">
        <v>12</v>
      </c>
      <c r="I186" s="368" t="str">
        <f>VLOOKUP(H186,'[2]Source Codes'!A$2:B$115,2,FALSE)</f>
        <v>AR Direct Cash Journal</v>
      </c>
      <c r="J186" s="412">
        <v>4849317.09</v>
      </c>
      <c r="K186" s="385">
        <v>45404</v>
      </c>
      <c r="L186" s="387" t="s">
        <v>764</v>
      </c>
      <c r="M186" s="388">
        <v>45404.751712962963</v>
      </c>
      <c r="N186" s="368" t="s">
        <v>356</v>
      </c>
      <c r="O186" s="368" t="s">
        <v>370</v>
      </c>
    </row>
    <row r="187" spans="1:15" ht="30" hidden="1" outlineLevel="1">
      <c r="B187" s="384">
        <v>2024</v>
      </c>
      <c r="C187" s="384">
        <v>10</v>
      </c>
      <c r="D187" s="367" t="s">
        <v>5</v>
      </c>
      <c r="E187" s="367" t="s">
        <v>6</v>
      </c>
      <c r="F187" s="367" t="s">
        <v>756</v>
      </c>
      <c r="G187" s="385">
        <v>45400</v>
      </c>
      <c r="H187" s="367" t="s">
        <v>12</v>
      </c>
      <c r="I187" s="368" t="str">
        <f>VLOOKUP(H187,'[2]Source Codes'!A$2:B$115,2,FALSE)</f>
        <v>AR Direct Cash Journal</v>
      </c>
      <c r="J187" s="412">
        <v>1208130</v>
      </c>
      <c r="K187" s="385">
        <v>45404</v>
      </c>
      <c r="L187" s="387" t="s">
        <v>765</v>
      </c>
      <c r="M187" s="388">
        <v>45404.751712962963</v>
      </c>
      <c r="N187" s="368" t="s">
        <v>356</v>
      </c>
      <c r="O187" s="368" t="s">
        <v>362</v>
      </c>
    </row>
    <row r="188" spans="1:15" ht="45" hidden="1" outlineLevel="1">
      <c r="B188" s="384">
        <v>2024</v>
      </c>
      <c r="C188" s="384">
        <v>10</v>
      </c>
      <c r="D188" s="367" t="s">
        <v>5</v>
      </c>
      <c r="E188" s="367" t="s">
        <v>6</v>
      </c>
      <c r="F188" s="367" t="s">
        <v>757</v>
      </c>
      <c r="G188" s="385">
        <v>45394</v>
      </c>
      <c r="H188" s="367" t="s">
        <v>9</v>
      </c>
      <c r="I188" s="368" t="str">
        <f>VLOOKUP(H188,'[2]Source Codes'!A$2:B$115,2,FALSE)</f>
        <v>On Line Journal Entries</v>
      </c>
      <c r="J188" s="412">
        <v>5466229</v>
      </c>
      <c r="K188" s="385">
        <v>45404</v>
      </c>
      <c r="L188" s="387" t="s">
        <v>396</v>
      </c>
      <c r="M188" s="388">
        <v>45404.462604166663</v>
      </c>
      <c r="N188" s="368" t="s">
        <v>356</v>
      </c>
      <c r="O188" s="368" t="s">
        <v>364</v>
      </c>
    </row>
    <row r="189" spans="1:15" ht="30" hidden="1" outlineLevel="1">
      <c r="B189" s="384">
        <v>2024</v>
      </c>
      <c r="C189" s="384">
        <v>10</v>
      </c>
      <c r="D189" s="367" t="s">
        <v>5</v>
      </c>
      <c r="E189" s="367" t="s">
        <v>6</v>
      </c>
      <c r="F189" s="367" t="s">
        <v>758</v>
      </c>
      <c r="G189" s="385">
        <v>45383</v>
      </c>
      <c r="H189" s="367" t="s">
        <v>9</v>
      </c>
      <c r="I189" s="368" t="str">
        <f>VLOOKUP(H189,'[2]Source Codes'!A$2:B$115,2,FALSE)</f>
        <v>On Line Journal Entries</v>
      </c>
      <c r="J189" s="412">
        <v>5171072</v>
      </c>
      <c r="K189" s="385">
        <v>45404</v>
      </c>
      <c r="L189" s="387" t="s">
        <v>334</v>
      </c>
      <c r="M189" s="388">
        <v>45404.461759259262</v>
      </c>
      <c r="N189" s="368" t="s">
        <v>356</v>
      </c>
      <c r="O189" s="368" t="s">
        <v>364</v>
      </c>
    </row>
    <row r="190" spans="1:15" ht="60" hidden="1" outlineLevel="1">
      <c r="B190" s="384">
        <v>2024</v>
      </c>
      <c r="C190" s="384">
        <v>10</v>
      </c>
      <c r="D190" s="367" t="s">
        <v>5</v>
      </c>
      <c r="E190" s="367" t="s">
        <v>6</v>
      </c>
      <c r="F190" s="367" t="s">
        <v>759</v>
      </c>
      <c r="G190" s="385">
        <v>45383</v>
      </c>
      <c r="H190" s="367" t="s">
        <v>9</v>
      </c>
      <c r="I190" s="368" t="str">
        <f>VLOOKUP(H190,'[2]Source Codes'!A$2:B$115,2,FALSE)</f>
        <v>On Line Journal Entries</v>
      </c>
      <c r="J190" s="412">
        <v>4663747.75</v>
      </c>
      <c r="K190" s="385">
        <v>45404</v>
      </c>
      <c r="L190" s="387" t="s">
        <v>347</v>
      </c>
      <c r="M190" s="388">
        <v>45404.462060185186</v>
      </c>
      <c r="N190" s="368" t="s">
        <v>356</v>
      </c>
      <c r="O190" s="368" t="s">
        <v>364</v>
      </c>
    </row>
    <row r="191" spans="1:15" ht="12.75" hidden="1" customHeight="1" outlineLevel="1">
      <c r="B191" s="384">
        <v>2024</v>
      </c>
      <c r="C191" s="384">
        <v>10</v>
      </c>
      <c r="D191" s="367" t="s">
        <v>5</v>
      </c>
      <c r="E191" s="367" t="s">
        <v>6</v>
      </c>
      <c r="F191" s="367" t="s">
        <v>760</v>
      </c>
      <c r="G191" s="385">
        <v>45399</v>
      </c>
      <c r="H191" s="367" t="s">
        <v>7</v>
      </c>
      <c r="I191" s="368" t="str">
        <f>VLOOKUP(H191,'[2]Source Codes'!A$2:B$115,2,FALSE)</f>
        <v>HRMS Interface Journals</v>
      </c>
      <c r="J191" s="412">
        <v>-2406927.4500000002</v>
      </c>
      <c r="K191" s="385">
        <v>45404</v>
      </c>
      <c r="L191" s="387" t="s">
        <v>350</v>
      </c>
      <c r="M191" s="388">
        <v>45404.41988425926</v>
      </c>
      <c r="N191" s="368" t="s">
        <v>378</v>
      </c>
      <c r="O191" s="368" t="s">
        <v>379</v>
      </c>
    </row>
    <row r="192" spans="1:15" ht="12.75" hidden="1" customHeight="1" outlineLevel="1">
      <c r="B192" s="384">
        <v>2024</v>
      </c>
      <c r="C192" s="384">
        <v>10</v>
      </c>
      <c r="D192" s="367" t="s">
        <v>5</v>
      </c>
      <c r="E192" s="367" t="s">
        <v>6</v>
      </c>
      <c r="F192" s="367" t="s">
        <v>761</v>
      </c>
      <c r="G192" s="385">
        <v>45399</v>
      </c>
      <c r="H192" s="367" t="s">
        <v>7</v>
      </c>
      <c r="I192" s="368" t="str">
        <f>VLOOKUP(H192,'[2]Source Codes'!A$2:B$115,2,FALSE)</f>
        <v>HRMS Interface Journals</v>
      </c>
      <c r="J192" s="412">
        <v>-10839455.699999999</v>
      </c>
      <c r="K192" s="385">
        <v>45404</v>
      </c>
      <c r="L192" s="387" t="s">
        <v>349</v>
      </c>
      <c r="M192" s="388">
        <v>45404.417800925927</v>
      </c>
      <c r="N192" s="368" t="s">
        <v>378</v>
      </c>
      <c r="O192" s="368" t="s">
        <v>379</v>
      </c>
    </row>
    <row r="193" spans="1:15" ht="12.75" customHeight="1" collapsed="1">
      <c r="J193" s="413">
        <f>SUM(J184:J192)</f>
        <v>2686695.1700000018</v>
      </c>
    </row>
    <row r="195" spans="1:15" ht="12.75" customHeight="1">
      <c r="A195" s="378" t="s">
        <v>766</v>
      </c>
    </row>
    <row r="196" spans="1:15" ht="75" hidden="1" outlineLevel="1">
      <c r="B196" s="384">
        <v>2024</v>
      </c>
      <c r="C196" s="384">
        <v>10</v>
      </c>
      <c r="D196" s="367" t="s">
        <v>5</v>
      </c>
      <c r="E196" s="367" t="s">
        <v>6</v>
      </c>
      <c r="F196" s="367" t="s">
        <v>767</v>
      </c>
      <c r="G196" s="385">
        <v>45405</v>
      </c>
      <c r="H196" s="367" t="s">
        <v>14</v>
      </c>
      <c r="I196" s="368" t="str">
        <f>VLOOKUP(H196,'[2]Source Codes'!A$2:B$115,2,FALSE)</f>
        <v>AP Warrant Issuance</v>
      </c>
      <c r="J196" s="412">
        <v>-3107037.91</v>
      </c>
      <c r="K196" s="385">
        <v>45405</v>
      </c>
      <c r="L196" s="387" t="s">
        <v>773</v>
      </c>
      <c r="M196" s="388">
        <v>45405.79378472222</v>
      </c>
      <c r="N196" s="368" t="s">
        <v>356</v>
      </c>
      <c r="O196" s="368" t="s">
        <v>368</v>
      </c>
    </row>
    <row r="197" spans="1:15" ht="30" hidden="1" outlineLevel="1">
      <c r="B197" s="384">
        <v>2024</v>
      </c>
      <c r="C197" s="384">
        <v>10</v>
      </c>
      <c r="D197" s="367" t="s">
        <v>5</v>
      </c>
      <c r="E197" s="367" t="s">
        <v>6</v>
      </c>
      <c r="F197" s="367" t="s">
        <v>768</v>
      </c>
      <c r="G197" s="385">
        <v>45401</v>
      </c>
      <c r="H197" s="367" t="s">
        <v>12</v>
      </c>
      <c r="I197" s="368" t="str">
        <f>VLOOKUP(H197,'[2]Source Codes'!A$2:B$115,2,FALSE)</f>
        <v>AR Direct Cash Journal</v>
      </c>
      <c r="J197" s="412">
        <v>2530287.84</v>
      </c>
      <c r="K197" s="385">
        <v>45405</v>
      </c>
      <c r="L197" s="387" t="s">
        <v>497</v>
      </c>
      <c r="M197" s="388">
        <v>45405.751747685186</v>
      </c>
      <c r="N197" s="368" t="s">
        <v>356</v>
      </c>
      <c r="O197" s="368" t="s">
        <v>370</v>
      </c>
    </row>
    <row r="198" spans="1:15" ht="12.75" hidden="1" customHeight="1" outlineLevel="1">
      <c r="B198" s="384">
        <v>2024</v>
      </c>
      <c r="C198" s="384">
        <v>10</v>
      </c>
      <c r="D198" s="367" t="s">
        <v>5</v>
      </c>
      <c r="E198" s="367" t="s">
        <v>6</v>
      </c>
      <c r="F198" s="367" t="s">
        <v>769</v>
      </c>
      <c r="G198" s="385">
        <v>45394</v>
      </c>
      <c r="H198" s="367" t="s">
        <v>337</v>
      </c>
      <c r="I198" s="368" t="str">
        <f>VLOOKUP(H198,'[2]Source Codes'!A$2:B$115,2,FALSE)</f>
        <v>Facilities Mngmnt Intfc Jrnls</v>
      </c>
      <c r="J198" s="412">
        <v>-1370182.92</v>
      </c>
      <c r="K198" s="385">
        <v>45405</v>
      </c>
      <c r="L198" s="387" t="s">
        <v>771</v>
      </c>
      <c r="M198" s="388">
        <v>45405.477835648147</v>
      </c>
      <c r="N198" s="368" t="s">
        <v>356</v>
      </c>
      <c r="O198" s="368" t="s">
        <v>367</v>
      </c>
    </row>
    <row r="199" spans="1:15" ht="15" hidden="1" outlineLevel="1">
      <c r="B199" s="384">
        <v>2024</v>
      </c>
      <c r="C199" s="384">
        <v>10</v>
      </c>
      <c r="D199" s="367" t="s">
        <v>5</v>
      </c>
      <c r="E199" s="367" t="s">
        <v>6</v>
      </c>
      <c r="F199" s="367" t="s">
        <v>770</v>
      </c>
      <c r="G199" s="385">
        <v>45398</v>
      </c>
      <c r="H199" s="367" t="s">
        <v>8</v>
      </c>
      <c r="I199" s="368" t="str">
        <f>VLOOKUP(H199,'[2]Source Codes'!A$2:B$115,2,FALSE)</f>
        <v>Prch,Cntrl Mail,Flt,Prntg,Sply</v>
      </c>
      <c r="J199" s="412">
        <v>-3621229.84</v>
      </c>
      <c r="K199" s="385">
        <v>45405</v>
      </c>
      <c r="L199" s="387" t="s">
        <v>772</v>
      </c>
      <c r="M199" s="388">
        <v>45405.846585648149</v>
      </c>
      <c r="N199" s="368" t="s">
        <v>356</v>
      </c>
      <c r="O199" s="368" t="s">
        <v>382</v>
      </c>
    </row>
    <row r="200" spans="1:15" ht="12.75" customHeight="1" collapsed="1">
      <c r="J200" s="413">
        <f>SUM(J196:J199)</f>
        <v>-5568162.8300000001</v>
      </c>
    </row>
    <row r="201" spans="1:15" ht="12.75" customHeight="1">
      <c r="A201" s="378" t="s">
        <v>774</v>
      </c>
    </row>
    <row r="202" spans="1:15" ht="30" hidden="1" outlineLevel="1">
      <c r="B202" s="384">
        <v>2024</v>
      </c>
      <c r="C202" s="384">
        <v>10</v>
      </c>
      <c r="D202" s="367" t="s">
        <v>5</v>
      </c>
      <c r="E202" s="367" t="s">
        <v>6</v>
      </c>
      <c r="F202" s="367" t="s">
        <v>775</v>
      </c>
      <c r="G202" s="385">
        <v>45397</v>
      </c>
      <c r="H202" s="367" t="s">
        <v>11</v>
      </c>
      <c r="I202" s="368" t="str">
        <f>VLOOKUP(H202,'[2]Source Codes'!A$2:B$115,2,FALSE)</f>
        <v>AR Payments</v>
      </c>
      <c r="J202" s="412">
        <v>1185701.44</v>
      </c>
      <c r="K202" s="385">
        <v>45406</v>
      </c>
      <c r="L202" s="387" t="s">
        <v>403</v>
      </c>
      <c r="M202" s="388">
        <v>45406.751886574071</v>
      </c>
      <c r="N202" s="368" t="s">
        <v>356</v>
      </c>
      <c r="O202" s="368" t="s">
        <v>357</v>
      </c>
    </row>
    <row r="203" spans="1:15" ht="30" hidden="1" outlineLevel="1">
      <c r="B203" s="384">
        <v>2024</v>
      </c>
      <c r="C203" s="384">
        <v>10</v>
      </c>
      <c r="D203" s="367" t="s">
        <v>5</v>
      </c>
      <c r="E203" s="367" t="s">
        <v>6</v>
      </c>
      <c r="F203" s="367" t="s">
        <v>776</v>
      </c>
      <c r="G203" s="385">
        <v>45405</v>
      </c>
      <c r="H203" s="367" t="s">
        <v>9</v>
      </c>
      <c r="I203" s="368" t="str">
        <f>VLOOKUP(H203,'[2]Source Codes'!A$2:B$115,2,FALSE)</f>
        <v>On Line Journal Entries</v>
      </c>
      <c r="J203" s="412">
        <v>6693744</v>
      </c>
      <c r="K203" s="385">
        <v>45406</v>
      </c>
      <c r="L203" s="387" t="s">
        <v>777</v>
      </c>
      <c r="M203" s="388">
        <v>45406.541944444441</v>
      </c>
      <c r="N203" s="368" t="s">
        <v>360</v>
      </c>
      <c r="O203" s="368" t="s">
        <v>371</v>
      </c>
    </row>
    <row r="204" spans="1:15" ht="12.75" customHeight="1" collapsed="1">
      <c r="J204" s="413">
        <f>SUM(J202:J203)</f>
        <v>7879445.4399999995</v>
      </c>
    </row>
    <row r="205" spans="1:15" ht="12.75" customHeight="1">
      <c r="A205" s="378" t="s">
        <v>774</v>
      </c>
    </row>
    <row r="206" spans="1:15" ht="30" hidden="1" outlineLevel="1">
      <c r="B206" s="384">
        <v>2024</v>
      </c>
      <c r="C206" s="384">
        <v>10</v>
      </c>
      <c r="D206" s="367" t="s">
        <v>5</v>
      </c>
      <c r="E206" s="367" t="s">
        <v>6</v>
      </c>
      <c r="F206" s="367" t="s">
        <v>778</v>
      </c>
      <c r="G206" s="385">
        <v>45407</v>
      </c>
      <c r="H206" s="367" t="s">
        <v>12</v>
      </c>
      <c r="I206" s="368" t="str">
        <f>VLOOKUP(H206,'[2]Source Codes'!A$2:B$115,2,FALSE)</f>
        <v>AR Direct Cash Journal</v>
      </c>
      <c r="J206" s="412">
        <v>3918785.22</v>
      </c>
      <c r="K206" s="385">
        <v>45407</v>
      </c>
      <c r="L206" s="387" t="s">
        <v>783</v>
      </c>
      <c r="M206" s="388">
        <v>45407.751736111109</v>
      </c>
      <c r="N206" s="368" t="s">
        <v>356</v>
      </c>
      <c r="O206" s="368" t="s">
        <v>371</v>
      </c>
    </row>
    <row r="207" spans="1:15" ht="45" hidden="1" outlineLevel="1">
      <c r="B207" s="384">
        <v>2024</v>
      </c>
      <c r="C207" s="384">
        <v>10</v>
      </c>
      <c r="D207" s="367" t="s">
        <v>5</v>
      </c>
      <c r="E207" s="367" t="s">
        <v>6</v>
      </c>
      <c r="F207" s="367" t="s">
        <v>779</v>
      </c>
      <c r="G207" s="385">
        <v>45404</v>
      </c>
      <c r="H207" s="367" t="s">
        <v>11</v>
      </c>
      <c r="I207" s="368" t="str">
        <f>VLOOKUP(H207,'[2]Source Codes'!A$2:B$115,2,FALSE)</f>
        <v>AR Payments</v>
      </c>
      <c r="J207" s="412">
        <v>2398035.89</v>
      </c>
      <c r="K207" s="385">
        <v>45407</v>
      </c>
      <c r="L207" s="387" t="s">
        <v>784</v>
      </c>
      <c r="M207" s="388">
        <v>45407.751736111109</v>
      </c>
      <c r="N207" s="368" t="s">
        <v>356</v>
      </c>
      <c r="O207" s="368" t="s">
        <v>357</v>
      </c>
    </row>
    <row r="208" spans="1:15" ht="12.75" hidden="1" customHeight="1" outlineLevel="1">
      <c r="B208" s="384">
        <v>2024</v>
      </c>
      <c r="C208" s="384">
        <v>10</v>
      </c>
      <c r="D208" s="367" t="s">
        <v>5</v>
      </c>
      <c r="E208" s="367" t="s">
        <v>6</v>
      </c>
      <c r="F208" s="367" t="s">
        <v>780</v>
      </c>
      <c r="G208" s="385">
        <v>45383</v>
      </c>
      <c r="H208" s="367" t="s">
        <v>9</v>
      </c>
      <c r="I208" s="368" t="str">
        <f>VLOOKUP(H208,'[2]Source Codes'!A$2:B$115,2,FALSE)</f>
        <v>On Line Journal Entries</v>
      </c>
      <c r="J208" s="412">
        <v>-3169167.56</v>
      </c>
      <c r="K208" s="385">
        <v>45407</v>
      </c>
      <c r="L208" s="387" t="s">
        <v>787</v>
      </c>
      <c r="M208" s="388">
        <v>45407.869652777779</v>
      </c>
      <c r="N208" s="368" t="s">
        <v>786</v>
      </c>
      <c r="O208" s="368" t="s">
        <v>373</v>
      </c>
    </row>
    <row r="209" spans="1:15" ht="45" hidden="1" outlineLevel="1">
      <c r="B209" s="384">
        <v>2024</v>
      </c>
      <c r="C209" s="384">
        <v>10</v>
      </c>
      <c r="D209" s="367" t="s">
        <v>5</v>
      </c>
      <c r="E209" s="367" t="s">
        <v>6</v>
      </c>
      <c r="F209" s="367" t="s">
        <v>781</v>
      </c>
      <c r="G209" s="385">
        <v>45394</v>
      </c>
      <c r="H209" s="367" t="s">
        <v>9</v>
      </c>
      <c r="I209" s="368" t="str">
        <f>VLOOKUP(H209,'[2]Source Codes'!A$2:B$115,2,FALSE)</f>
        <v>On Line Journal Entries</v>
      </c>
      <c r="J209" s="412">
        <v>5724938</v>
      </c>
      <c r="K209" s="385">
        <v>45407</v>
      </c>
      <c r="L209" s="387" t="s">
        <v>396</v>
      </c>
      <c r="M209" s="388">
        <v>45407.869652777779</v>
      </c>
      <c r="N209" s="368" t="s">
        <v>356</v>
      </c>
      <c r="O209" s="368" t="s">
        <v>364</v>
      </c>
    </row>
    <row r="210" spans="1:15" ht="30" hidden="1" outlineLevel="1">
      <c r="B210" s="384">
        <v>2024</v>
      </c>
      <c r="C210" s="384">
        <v>10</v>
      </c>
      <c r="D210" s="367" t="s">
        <v>5</v>
      </c>
      <c r="E210" s="367" t="s">
        <v>6</v>
      </c>
      <c r="F210" s="367" t="s">
        <v>782</v>
      </c>
      <c r="G210" s="385">
        <v>45404</v>
      </c>
      <c r="H210" s="367" t="s">
        <v>9</v>
      </c>
      <c r="I210" s="368" t="str">
        <f>VLOOKUP(H210,'[2]Source Codes'!A$2:B$115,2,FALSE)</f>
        <v>On Line Journal Entries</v>
      </c>
      <c r="J210" s="412">
        <v>15856920</v>
      </c>
      <c r="K210" s="385">
        <v>45407</v>
      </c>
      <c r="L210" s="387" t="s">
        <v>785</v>
      </c>
      <c r="M210" s="388">
        <v>45407.497349537036</v>
      </c>
      <c r="N210" s="368" t="s">
        <v>786</v>
      </c>
      <c r="O210" s="368" t="s">
        <v>357</v>
      </c>
    </row>
    <row r="211" spans="1:15" ht="12.75" customHeight="1" collapsed="1">
      <c r="J211" s="413">
        <f>SUM(J206:J210)</f>
        <v>24729511.550000001</v>
      </c>
    </row>
    <row r="213" spans="1:15" ht="12.75" customHeight="1">
      <c r="A213" s="378" t="s">
        <v>847</v>
      </c>
    </row>
    <row r="214" spans="1:15" ht="30" hidden="1" outlineLevel="1">
      <c r="B214" s="384">
        <v>2024</v>
      </c>
      <c r="C214" s="384">
        <v>10</v>
      </c>
      <c r="D214" s="367" t="s">
        <v>5</v>
      </c>
      <c r="E214" s="367" t="s">
        <v>6</v>
      </c>
      <c r="F214" s="367" t="s">
        <v>788</v>
      </c>
      <c r="G214" s="385">
        <v>45412</v>
      </c>
      <c r="H214" s="367" t="s">
        <v>14</v>
      </c>
      <c r="I214" s="368" t="str">
        <f>VLOOKUP(H214,'[2]Source Codes'!A$2:B$115,2,FALSE)</f>
        <v>AP Warrant Issuance</v>
      </c>
      <c r="J214" s="412">
        <v>-1436799.09</v>
      </c>
      <c r="K214" s="385">
        <v>45408</v>
      </c>
      <c r="L214" s="387" t="s">
        <v>794</v>
      </c>
      <c r="M214" s="388">
        <v>45408.793275462966</v>
      </c>
      <c r="N214" s="368" t="s">
        <v>356</v>
      </c>
      <c r="O214" s="368" t="s">
        <v>368</v>
      </c>
    </row>
    <row r="215" spans="1:15" ht="30" hidden="1" outlineLevel="1">
      <c r="B215" s="384">
        <v>2024</v>
      </c>
      <c r="C215" s="384">
        <v>10</v>
      </c>
      <c r="D215" s="367" t="s">
        <v>5</v>
      </c>
      <c r="E215" s="367" t="s">
        <v>6</v>
      </c>
      <c r="F215" s="367" t="s">
        <v>789</v>
      </c>
      <c r="G215" s="385">
        <v>45407</v>
      </c>
      <c r="H215" s="367" t="s">
        <v>12</v>
      </c>
      <c r="I215" s="368" t="str">
        <f>VLOOKUP(H215,'[2]Source Codes'!A$2:B$115,2,FALSE)</f>
        <v>AR Direct Cash Journal</v>
      </c>
      <c r="J215" s="412">
        <v>2013985.83</v>
      </c>
      <c r="K215" s="385">
        <v>45408</v>
      </c>
      <c r="L215" s="387" t="s">
        <v>497</v>
      </c>
      <c r="M215" s="388">
        <v>45408.751620370371</v>
      </c>
      <c r="N215" s="368" t="s">
        <v>356</v>
      </c>
      <c r="O215" s="368" t="s">
        <v>370</v>
      </c>
    </row>
    <row r="216" spans="1:15" ht="70.5" hidden="1" customHeight="1" outlineLevel="1">
      <c r="B216" s="384">
        <v>2024</v>
      </c>
      <c r="C216" s="384">
        <v>10</v>
      </c>
      <c r="D216" s="367" t="s">
        <v>5</v>
      </c>
      <c r="E216" s="367" t="s">
        <v>6</v>
      </c>
      <c r="F216" s="367" t="s">
        <v>790</v>
      </c>
      <c r="G216" s="385">
        <v>45401</v>
      </c>
      <c r="H216" s="367" t="s">
        <v>9</v>
      </c>
      <c r="I216" s="368" t="str">
        <f>VLOOKUP(H216,'[2]Source Codes'!A$2:B$115,2,FALSE)</f>
        <v>On Line Journal Entries</v>
      </c>
      <c r="J216" s="412">
        <v>9043576.9600000009</v>
      </c>
      <c r="K216" s="385">
        <v>45408</v>
      </c>
      <c r="L216" s="387" t="s">
        <v>344</v>
      </c>
      <c r="M216" s="388">
        <v>45408.86917824074</v>
      </c>
      <c r="N216" s="368" t="s">
        <v>356</v>
      </c>
      <c r="O216" s="368" t="s">
        <v>364</v>
      </c>
    </row>
    <row r="217" spans="1:15" ht="72.75" hidden="1" customHeight="1" outlineLevel="1">
      <c r="B217" s="384">
        <v>2024</v>
      </c>
      <c r="C217" s="384">
        <v>10</v>
      </c>
      <c r="D217" s="367" t="s">
        <v>5</v>
      </c>
      <c r="E217" s="367" t="s">
        <v>6</v>
      </c>
      <c r="F217" s="367" t="s">
        <v>791</v>
      </c>
      <c r="G217" s="385">
        <v>45400</v>
      </c>
      <c r="H217" s="367" t="s">
        <v>9</v>
      </c>
      <c r="I217" s="368" t="str">
        <f>VLOOKUP(H217,'[2]Source Codes'!A$2:B$115,2,FALSE)</f>
        <v>On Line Journal Entries</v>
      </c>
      <c r="J217" s="412">
        <v>4720557.01</v>
      </c>
      <c r="K217" s="385">
        <v>45408</v>
      </c>
      <c r="L217" s="387" t="s">
        <v>792</v>
      </c>
      <c r="M217" s="388">
        <v>45408.86917824074</v>
      </c>
      <c r="N217" s="368" t="s">
        <v>356</v>
      </c>
      <c r="O217" s="368" t="s">
        <v>364</v>
      </c>
    </row>
    <row r="218" spans="1:15" ht="70.5" hidden="1" customHeight="1" outlineLevel="1">
      <c r="B218" s="384">
        <v>2024</v>
      </c>
      <c r="C218" s="384">
        <v>10</v>
      </c>
      <c r="D218" s="367" t="s">
        <v>5</v>
      </c>
      <c r="E218" s="367" t="s">
        <v>6</v>
      </c>
      <c r="F218" s="367" t="s">
        <v>793</v>
      </c>
      <c r="G218" s="385">
        <v>45399</v>
      </c>
      <c r="H218" s="367" t="s">
        <v>7</v>
      </c>
      <c r="I218" s="368" t="str">
        <f>VLOOKUP(H218,'[2]Source Codes'!A$2:B$115,2,FALSE)</f>
        <v>HRMS Interface Journals</v>
      </c>
      <c r="J218" s="412">
        <v>-65946140.68</v>
      </c>
      <c r="K218" s="385">
        <v>45408</v>
      </c>
      <c r="L218" s="387" t="s">
        <v>348</v>
      </c>
      <c r="M218" s="388">
        <v>45408.344814814816</v>
      </c>
      <c r="N218" s="368" t="s">
        <v>378</v>
      </c>
      <c r="O218" s="368" t="s">
        <v>379</v>
      </c>
    </row>
    <row r="219" spans="1:15" ht="12.75" customHeight="1" collapsed="1">
      <c r="J219" s="413">
        <f>SUM(J214:J218)</f>
        <v>-51604819.969999999</v>
      </c>
    </row>
    <row r="221" spans="1:15" ht="12.75" customHeight="1">
      <c r="A221" s="378" t="s">
        <v>848</v>
      </c>
    </row>
    <row r="222" spans="1:15" ht="30" hidden="1" outlineLevel="1">
      <c r="B222" s="384">
        <v>2024</v>
      </c>
      <c r="C222" s="384">
        <v>11</v>
      </c>
      <c r="D222" s="367" t="s">
        <v>5</v>
      </c>
      <c r="E222" s="367" t="s">
        <v>6</v>
      </c>
      <c r="F222" s="367" t="s">
        <v>795</v>
      </c>
      <c r="G222" s="385">
        <v>45413</v>
      </c>
      <c r="H222" s="367" t="s">
        <v>14</v>
      </c>
      <c r="I222" s="368" t="str">
        <f>VLOOKUP(H222,'[2]Source Codes'!A$2:B$115,2,FALSE)</f>
        <v>AP Warrant Issuance</v>
      </c>
      <c r="J222" s="412">
        <v>-1245562.8899999999</v>
      </c>
      <c r="K222" s="385">
        <v>45411</v>
      </c>
      <c r="L222" s="387" t="s">
        <v>807</v>
      </c>
      <c r="M222" s="388">
        <v>45411.793298611112</v>
      </c>
      <c r="N222" s="368" t="s">
        <v>356</v>
      </c>
      <c r="O222" s="368" t="s">
        <v>368</v>
      </c>
    </row>
    <row r="223" spans="1:15" ht="30" hidden="1" outlineLevel="1">
      <c r="B223" s="384">
        <v>2024</v>
      </c>
      <c r="C223" s="384">
        <v>10</v>
      </c>
      <c r="D223" s="367" t="s">
        <v>5</v>
      </c>
      <c r="E223" s="367" t="s">
        <v>6</v>
      </c>
      <c r="F223" s="367" t="s">
        <v>796</v>
      </c>
      <c r="G223" s="385">
        <v>45408</v>
      </c>
      <c r="H223" s="367" t="s">
        <v>12</v>
      </c>
      <c r="I223" s="368" t="str">
        <f>VLOOKUP(H223,'[2]Source Codes'!A$2:B$115,2,FALSE)</f>
        <v>AR Direct Cash Journal</v>
      </c>
      <c r="J223" s="412">
        <v>1975286.37</v>
      </c>
      <c r="K223" s="385">
        <v>45411</v>
      </c>
      <c r="L223" s="387" t="s">
        <v>402</v>
      </c>
      <c r="M223" s="388">
        <v>45411.751851851855</v>
      </c>
      <c r="N223" s="368" t="s">
        <v>356</v>
      </c>
      <c r="O223" s="368" t="s">
        <v>371</v>
      </c>
    </row>
    <row r="224" spans="1:15" ht="45" hidden="1" outlineLevel="1">
      <c r="B224" s="384">
        <v>2024</v>
      </c>
      <c r="C224" s="384">
        <v>10</v>
      </c>
      <c r="D224" s="367" t="s">
        <v>5</v>
      </c>
      <c r="E224" s="367" t="s">
        <v>6</v>
      </c>
      <c r="F224" s="367" t="s">
        <v>797</v>
      </c>
      <c r="G224" s="385">
        <v>45401</v>
      </c>
      <c r="H224" s="367" t="s">
        <v>12</v>
      </c>
      <c r="I224" s="368" t="str">
        <f>VLOOKUP(H224,'[2]Source Codes'!A$2:B$115,2,FALSE)</f>
        <v>AR Direct Cash Journal</v>
      </c>
      <c r="J224" s="412">
        <v>1277372.49</v>
      </c>
      <c r="K224" s="385">
        <v>45411</v>
      </c>
      <c r="L224" s="387" t="s">
        <v>806</v>
      </c>
      <c r="M224" s="388">
        <v>45411.751851851855</v>
      </c>
      <c r="N224" s="368" t="s">
        <v>360</v>
      </c>
      <c r="O224" s="368" t="s">
        <v>376</v>
      </c>
    </row>
    <row r="225" spans="1:15" ht="45" hidden="1" outlineLevel="1">
      <c r="B225" s="384">
        <v>2024</v>
      </c>
      <c r="C225" s="384">
        <v>10</v>
      </c>
      <c r="D225" s="367" t="s">
        <v>5</v>
      </c>
      <c r="E225" s="367" t="s">
        <v>6</v>
      </c>
      <c r="F225" s="367" t="s">
        <v>798</v>
      </c>
      <c r="G225" s="385">
        <v>45392</v>
      </c>
      <c r="H225" s="367" t="s">
        <v>9</v>
      </c>
      <c r="I225" s="368" t="str">
        <f>VLOOKUP(H225,'[2]Source Codes'!A$2:B$115,2,FALSE)</f>
        <v>On Line Journal Entries</v>
      </c>
      <c r="J225" s="412">
        <v>30008514</v>
      </c>
      <c r="K225" s="385">
        <v>45411</v>
      </c>
      <c r="L225" s="387" t="s">
        <v>396</v>
      </c>
      <c r="M225" s="388">
        <v>45411.869155092594</v>
      </c>
      <c r="N225" s="368" t="s">
        <v>356</v>
      </c>
      <c r="O225" s="368" t="s">
        <v>364</v>
      </c>
    </row>
    <row r="226" spans="1:15" ht="30" hidden="1" outlineLevel="1">
      <c r="B226" s="384">
        <v>2024</v>
      </c>
      <c r="C226" s="384">
        <v>10</v>
      </c>
      <c r="D226" s="367" t="s">
        <v>5</v>
      </c>
      <c r="E226" s="367" t="s">
        <v>6</v>
      </c>
      <c r="F226" s="367" t="s">
        <v>799</v>
      </c>
      <c r="G226" s="385">
        <v>45401</v>
      </c>
      <c r="H226" s="367" t="s">
        <v>9</v>
      </c>
      <c r="I226" s="368" t="str">
        <f>VLOOKUP(H226,'[2]Source Codes'!A$2:B$115,2,FALSE)</f>
        <v>On Line Journal Entries</v>
      </c>
      <c r="J226" s="412">
        <v>8148794</v>
      </c>
      <c r="K226" s="385">
        <v>45411</v>
      </c>
      <c r="L226" s="387" t="s">
        <v>344</v>
      </c>
      <c r="M226" s="388">
        <v>45411.869155092594</v>
      </c>
      <c r="N226" s="368" t="s">
        <v>356</v>
      </c>
      <c r="O226" s="368" t="s">
        <v>364</v>
      </c>
    </row>
    <row r="227" spans="1:15" ht="30" hidden="1" outlineLevel="1">
      <c r="B227" s="384">
        <v>2024</v>
      </c>
      <c r="C227" s="384">
        <v>10</v>
      </c>
      <c r="D227" s="367" t="s">
        <v>5</v>
      </c>
      <c r="E227" s="367" t="s">
        <v>6</v>
      </c>
      <c r="F227" s="367" t="s">
        <v>800</v>
      </c>
      <c r="G227" s="385">
        <v>45400</v>
      </c>
      <c r="H227" s="367" t="s">
        <v>9</v>
      </c>
      <c r="I227" s="368" t="str">
        <f>VLOOKUP(H227,'[2]Source Codes'!A$2:B$115,2,FALSE)</f>
        <v>On Line Journal Entries</v>
      </c>
      <c r="J227" s="412">
        <v>1548550</v>
      </c>
      <c r="K227" s="385">
        <v>45411</v>
      </c>
      <c r="L227" s="387" t="s">
        <v>344</v>
      </c>
      <c r="M227" s="388">
        <v>45411.869155092594</v>
      </c>
      <c r="N227" s="368" t="s">
        <v>356</v>
      </c>
      <c r="O227" s="368" t="s">
        <v>364</v>
      </c>
    </row>
    <row r="228" spans="1:15" ht="73.5" hidden="1" customHeight="1" outlineLevel="1">
      <c r="B228" s="384">
        <v>2024</v>
      </c>
      <c r="C228" s="384">
        <v>10</v>
      </c>
      <c r="D228" s="367" t="s">
        <v>5</v>
      </c>
      <c r="E228" s="367" t="s">
        <v>6</v>
      </c>
      <c r="F228" s="367" t="s">
        <v>801</v>
      </c>
      <c r="G228" s="385">
        <v>45398</v>
      </c>
      <c r="H228" s="367" t="s">
        <v>9</v>
      </c>
      <c r="I228" s="368" t="str">
        <f>VLOOKUP(H228,'[2]Source Codes'!A$2:B$115,2,FALSE)</f>
        <v>On Line Journal Entries</v>
      </c>
      <c r="J228" s="412">
        <v>1438808</v>
      </c>
      <c r="K228" s="385">
        <v>45411</v>
      </c>
      <c r="L228" s="387" t="s">
        <v>802</v>
      </c>
      <c r="M228" s="388">
        <v>45411.869155092594</v>
      </c>
      <c r="N228" s="368" t="s">
        <v>356</v>
      </c>
      <c r="O228" s="368" t="s">
        <v>364</v>
      </c>
    </row>
    <row r="229" spans="1:15" ht="15" hidden="1" outlineLevel="1">
      <c r="B229" s="384">
        <v>2024</v>
      </c>
      <c r="C229" s="384">
        <v>10</v>
      </c>
      <c r="D229" s="367" t="s">
        <v>5</v>
      </c>
      <c r="E229" s="367" t="s">
        <v>6</v>
      </c>
      <c r="F229" s="367" t="s">
        <v>803</v>
      </c>
      <c r="G229" s="385">
        <v>45383</v>
      </c>
      <c r="H229" s="367" t="s">
        <v>9</v>
      </c>
      <c r="I229" s="368" t="str">
        <f>VLOOKUP(H229,'[2]Source Codes'!A$2:B$115,2,FALSE)</f>
        <v>On Line Journal Entries</v>
      </c>
      <c r="J229" s="412">
        <v>-10970906.48</v>
      </c>
      <c r="K229" s="385">
        <v>45411</v>
      </c>
      <c r="L229" s="387" t="s">
        <v>808</v>
      </c>
      <c r="M229" s="388">
        <v>45411.869155092594</v>
      </c>
      <c r="N229" s="368" t="s">
        <v>372</v>
      </c>
      <c r="O229" s="368" t="s">
        <v>373</v>
      </c>
    </row>
    <row r="230" spans="1:15" ht="15" hidden="1" outlineLevel="1">
      <c r="B230" s="384">
        <v>2024</v>
      </c>
      <c r="C230" s="384">
        <v>10</v>
      </c>
      <c r="D230" s="367" t="s">
        <v>5</v>
      </c>
      <c r="E230" s="367" t="s">
        <v>6</v>
      </c>
      <c r="F230" s="367" t="s">
        <v>804</v>
      </c>
      <c r="G230" s="385">
        <v>45383</v>
      </c>
      <c r="H230" s="367" t="s">
        <v>9</v>
      </c>
      <c r="I230" s="368" t="str">
        <f>VLOOKUP(H230,'[2]Source Codes'!A$2:B$115,2,FALSE)</f>
        <v>On Line Journal Entries</v>
      </c>
      <c r="J230" s="412">
        <v>-15495729.859999999</v>
      </c>
      <c r="K230" s="385">
        <v>45411</v>
      </c>
      <c r="L230" s="387" t="s">
        <v>809</v>
      </c>
      <c r="M230" s="388">
        <v>45411.869155092594</v>
      </c>
      <c r="N230" s="368" t="s">
        <v>372</v>
      </c>
      <c r="O230" s="368" t="s">
        <v>373</v>
      </c>
    </row>
    <row r="231" spans="1:15" ht="15" hidden="1" outlineLevel="1">
      <c r="B231" s="384">
        <v>2024</v>
      </c>
      <c r="C231" s="384">
        <v>11</v>
      </c>
      <c r="D231" s="367" t="s">
        <v>5</v>
      </c>
      <c r="E231" s="367" t="s">
        <v>6</v>
      </c>
      <c r="F231" s="367" t="s">
        <v>805</v>
      </c>
      <c r="G231" s="385">
        <v>45413</v>
      </c>
      <c r="H231" s="367" t="s">
        <v>13</v>
      </c>
      <c r="I231" s="368" t="str">
        <f>VLOOKUP(H231,'[2]Source Codes'!A$2:B$115,2,FALSE)</f>
        <v>C-IV Voucher/Payments/EBT</v>
      </c>
      <c r="J231" s="412">
        <v>-16460528.140000001</v>
      </c>
      <c r="K231" s="385">
        <v>45411</v>
      </c>
      <c r="L231" s="387" t="s">
        <v>810</v>
      </c>
      <c r="M231" s="388">
        <v>45411.869166666664</v>
      </c>
      <c r="N231" s="368" t="s">
        <v>356</v>
      </c>
      <c r="O231" s="368" t="s">
        <v>364</v>
      </c>
    </row>
    <row r="232" spans="1:15" ht="12.75" customHeight="1" collapsed="1">
      <c r="J232" s="413">
        <f>SUM(J222:J231)</f>
        <v>224597.48999999836</v>
      </c>
    </row>
    <row r="234" spans="1:15" ht="12.75" customHeight="1">
      <c r="A234" s="378" t="s">
        <v>849</v>
      </c>
    </row>
    <row r="235" spans="1:15" ht="60" hidden="1" outlineLevel="1">
      <c r="B235" s="384">
        <v>2024</v>
      </c>
      <c r="C235" s="384">
        <v>10</v>
      </c>
      <c r="D235" s="367" t="s">
        <v>5</v>
      </c>
      <c r="E235" s="367" t="s">
        <v>6</v>
      </c>
      <c r="F235" s="367" t="s">
        <v>811</v>
      </c>
      <c r="G235" s="385">
        <v>45412</v>
      </c>
      <c r="H235" s="367" t="s">
        <v>14</v>
      </c>
      <c r="I235" s="368" t="str">
        <f>VLOOKUP(H235,'[2]Source Codes'!A$2:B$115,2,FALSE)</f>
        <v>AP Warrant Issuance</v>
      </c>
      <c r="J235" s="412">
        <v>-1069819.22</v>
      </c>
      <c r="K235" s="385">
        <v>45412</v>
      </c>
      <c r="L235" s="387" t="s">
        <v>816</v>
      </c>
      <c r="M235" s="388">
        <v>45412.793333333335</v>
      </c>
      <c r="N235" s="368" t="s">
        <v>360</v>
      </c>
      <c r="O235" s="368" t="s">
        <v>367</v>
      </c>
    </row>
    <row r="236" spans="1:15" ht="60" hidden="1" outlineLevel="1">
      <c r="B236" s="384">
        <v>2024</v>
      </c>
      <c r="C236" s="384">
        <v>10</v>
      </c>
      <c r="D236" s="367" t="s">
        <v>5</v>
      </c>
      <c r="E236" s="367" t="s">
        <v>6</v>
      </c>
      <c r="F236" s="367" t="s">
        <v>812</v>
      </c>
      <c r="G236" s="385">
        <v>45406</v>
      </c>
      <c r="H236" s="367" t="s">
        <v>11</v>
      </c>
      <c r="I236" s="368" t="str">
        <f>VLOOKUP(H236,'[2]Source Codes'!A$2:B$115,2,FALSE)</f>
        <v>AR Payments</v>
      </c>
      <c r="J236" s="412">
        <v>3070775.41</v>
      </c>
      <c r="K236" s="385">
        <v>45412</v>
      </c>
      <c r="L236" s="387" t="s">
        <v>817</v>
      </c>
      <c r="M236" s="388">
        <v>45412.752083333333</v>
      </c>
      <c r="N236" s="368" t="s">
        <v>356</v>
      </c>
      <c r="O236" s="368" t="s">
        <v>357</v>
      </c>
    </row>
    <row r="237" spans="1:15" ht="30" hidden="1" outlineLevel="1">
      <c r="B237" s="384">
        <v>2024</v>
      </c>
      <c r="C237" s="384">
        <v>10</v>
      </c>
      <c r="D237" s="367" t="s">
        <v>5</v>
      </c>
      <c r="E237" s="367" t="s">
        <v>6</v>
      </c>
      <c r="F237" s="367" t="s">
        <v>813</v>
      </c>
      <c r="G237" s="385">
        <v>45412</v>
      </c>
      <c r="H237" s="367" t="s">
        <v>12</v>
      </c>
      <c r="I237" s="368" t="str">
        <f>VLOOKUP(H237,'[2]Source Codes'!A$2:B$115,2,FALSE)</f>
        <v>AR Direct Cash Journal</v>
      </c>
      <c r="J237" s="412">
        <v>2000000</v>
      </c>
      <c r="K237" s="385">
        <v>45412</v>
      </c>
      <c r="L237" s="387" t="s">
        <v>818</v>
      </c>
      <c r="M237" s="388">
        <v>45412.752083333333</v>
      </c>
      <c r="N237" s="368" t="s">
        <v>360</v>
      </c>
      <c r="O237" s="368" t="s">
        <v>504</v>
      </c>
    </row>
    <row r="238" spans="1:15" ht="39" hidden="1" customHeight="1" outlineLevel="1">
      <c r="B238" s="384">
        <v>2024</v>
      </c>
      <c r="C238" s="384">
        <v>10</v>
      </c>
      <c r="D238" s="367" t="s">
        <v>5</v>
      </c>
      <c r="E238" s="367" t="s">
        <v>6</v>
      </c>
      <c r="F238" s="367" t="s">
        <v>814</v>
      </c>
      <c r="G238" s="385">
        <v>45386</v>
      </c>
      <c r="H238" s="367" t="s">
        <v>9</v>
      </c>
      <c r="I238" s="368" t="str">
        <f>VLOOKUP(H238,'[2]Source Codes'!A$2:B$115,2,FALSE)</f>
        <v>On Line Journal Entries</v>
      </c>
      <c r="J238" s="412">
        <v>1086030.3500000001</v>
      </c>
      <c r="K238" s="385">
        <v>45412</v>
      </c>
      <c r="L238" s="387" t="s">
        <v>815</v>
      </c>
      <c r="M238" s="388">
        <v>45412.922523148147</v>
      </c>
      <c r="N238" s="368" t="s">
        <v>360</v>
      </c>
      <c r="O238" s="368" t="s">
        <v>371</v>
      </c>
    </row>
    <row r="239" spans="1:15" ht="12.75" customHeight="1" collapsed="1">
      <c r="J239" s="413">
        <f>SUM(J235:J238)</f>
        <v>5086986.540000001</v>
      </c>
    </row>
    <row r="241" spans="1:15" ht="12.75" customHeight="1">
      <c r="A241" s="378" t="s">
        <v>850</v>
      </c>
    </row>
    <row r="242" spans="1:15" ht="90" hidden="1" outlineLevel="1">
      <c r="B242" s="384">
        <v>2024</v>
      </c>
      <c r="C242" s="384">
        <v>10</v>
      </c>
      <c r="D242" s="367" t="s">
        <v>5</v>
      </c>
      <c r="E242" s="367" t="s">
        <v>6</v>
      </c>
      <c r="F242" s="367" t="s">
        <v>819</v>
      </c>
      <c r="G242" s="385">
        <v>45412</v>
      </c>
      <c r="H242" s="367" t="s">
        <v>12</v>
      </c>
      <c r="I242" s="368" t="str">
        <f>VLOOKUP(H242,'[2]Source Codes'!A$2:B$115,2,FALSE)</f>
        <v>AR Direct Cash Journal</v>
      </c>
      <c r="J242" s="412">
        <v>38053719.079999998</v>
      </c>
      <c r="K242" s="385">
        <v>45413</v>
      </c>
      <c r="L242" s="387" t="s">
        <v>823</v>
      </c>
      <c r="M242" s="388">
        <v>45413.751631944448</v>
      </c>
      <c r="N242" s="368" t="s">
        <v>356</v>
      </c>
      <c r="O242" s="368" t="s">
        <v>368</v>
      </c>
    </row>
    <row r="243" spans="1:15" ht="45" hidden="1" outlineLevel="1">
      <c r="B243" s="384">
        <v>2024</v>
      </c>
      <c r="C243" s="384">
        <v>10</v>
      </c>
      <c r="D243" s="367" t="s">
        <v>5</v>
      </c>
      <c r="E243" s="367" t="s">
        <v>6</v>
      </c>
      <c r="F243" s="367" t="s">
        <v>820</v>
      </c>
      <c r="G243" s="385">
        <v>45400</v>
      </c>
      <c r="H243" s="367" t="s">
        <v>12</v>
      </c>
      <c r="I243" s="368" t="str">
        <f>VLOOKUP(H243,'[2]Source Codes'!A$2:B$115,2,FALSE)</f>
        <v>AR Direct Cash Journal</v>
      </c>
      <c r="J243" s="412">
        <v>3571682.11</v>
      </c>
      <c r="K243" s="385">
        <v>45413</v>
      </c>
      <c r="L243" s="387" t="s">
        <v>824</v>
      </c>
      <c r="M243" s="388">
        <v>45413.751631944448</v>
      </c>
      <c r="N243" s="368" t="s">
        <v>356</v>
      </c>
      <c r="O243" s="368" t="s">
        <v>368</v>
      </c>
    </row>
    <row r="244" spans="1:15" ht="15" hidden="1" outlineLevel="1">
      <c r="B244" s="384">
        <v>2024</v>
      </c>
      <c r="C244" s="384">
        <v>11</v>
      </c>
      <c r="D244" s="367" t="s">
        <v>5</v>
      </c>
      <c r="E244" s="367" t="s">
        <v>6</v>
      </c>
      <c r="F244" s="367" t="s">
        <v>821</v>
      </c>
      <c r="G244" s="385">
        <v>45413</v>
      </c>
      <c r="H244" s="367" t="s">
        <v>9</v>
      </c>
      <c r="I244" s="368" t="str">
        <f>VLOOKUP(H244,'[2]Source Codes'!A$2:B$115,2,FALSE)</f>
        <v>On Line Journal Entries</v>
      </c>
      <c r="J244" s="412">
        <v>12375675</v>
      </c>
      <c r="K244" s="385">
        <v>45413</v>
      </c>
      <c r="L244" s="387" t="s">
        <v>822</v>
      </c>
      <c r="M244" s="388">
        <v>45413.524375000001</v>
      </c>
      <c r="N244" s="368" t="s">
        <v>387</v>
      </c>
      <c r="O244" s="368" t="s">
        <v>358</v>
      </c>
    </row>
    <row r="245" spans="1:15" ht="12.75" customHeight="1" collapsed="1">
      <c r="J245" s="413">
        <f>SUM(J242:J244)</f>
        <v>54001076.189999998</v>
      </c>
    </row>
    <row r="247" spans="1:15" ht="12.75" customHeight="1">
      <c r="A247" s="378" t="s">
        <v>851</v>
      </c>
    </row>
    <row r="248" spans="1:15" ht="60" hidden="1" outlineLevel="1">
      <c r="B248" s="384">
        <v>2024</v>
      </c>
      <c r="C248" s="384">
        <v>11</v>
      </c>
      <c r="D248" s="367" t="s">
        <v>5</v>
      </c>
      <c r="E248" s="367" t="s">
        <v>6</v>
      </c>
      <c r="F248" s="367" t="s">
        <v>825</v>
      </c>
      <c r="G248" s="385">
        <v>45414</v>
      </c>
      <c r="H248" s="367" t="s">
        <v>14</v>
      </c>
      <c r="I248" s="368" t="str">
        <f>VLOOKUP(H248,'[2]Source Codes'!A$2:B$115,2,FALSE)</f>
        <v>AP Warrant Issuance</v>
      </c>
      <c r="J248" s="412">
        <v>-7987971.5999999996</v>
      </c>
      <c r="K248" s="385">
        <v>45414</v>
      </c>
      <c r="L248" s="387" t="s">
        <v>838</v>
      </c>
      <c r="M248" s="388">
        <v>45414.793495370373</v>
      </c>
      <c r="N248" s="368" t="s">
        <v>356</v>
      </c>
      <c r="O248" s="368" t="s">
        <v>364</v>
      </c>
    </row>
    <row r="249" spans="1:15" ht="15" hidden="1" outlineLevel="1">
      <c r="B249" s="384">
        <v>2024</v>
      </c>
      <c r="C249" s="384">
        <v>10</v>
      </c>
      <c r="D249" s="367" t="s">
        <v>5</v>
      </c>
      <c r="E249" s="367" t="s">
        <v>6</v>
      </c>
      <c r="F249" s="367" t="s">
        <v>826</v>
      </c>
      <c r="G249" s="385">
        <v>45409</v>
      </c>
      <c r="H249" s="367" t="s">
        <v>9</v>
      </c>
      <c r="I249" s="368" t="str">
        <f>VLOOKUP(H249,'[2]Source Codes'!A$2:B$115,2,FALSE)</f>
        <v>On Line Journal Entries</v>
      </c>
      <c r="J249" s="412">
        <v>20019418.77</v>
      </c>
      <c r="K249" s="385">
        <v>45414</v>
      </c>
      <c r="L249" s="387" t="s">
        <v>832</v>
      </c>
      <c r="M249" s="388">
        <v>45414.586562500001</v>
      </c>
      <c r="N249" s="368" t="s">
        <v>356</v>
      </c>
      <c r="O249" s="368" t="s">
        <v>371</v>
      </c>
    </row>
    <row r="250" spans="1:15" ht="90" hidden="1" customHeight="1" outlineLevel="1">
      <c r="B250" s="384">
        <v>2024</v>
      </c>
      <c r="C250" s="384">
        <v>11</v>
      </c>
      <c r="D250" s="367" t="s">
        <v>5</v>
      </c>
      <c r="E250" s="367" t="s">
        <v>6</v>
      </c>
      <c r="F250" s="367" t="s">
        <v>827</v>
      </c>
      <c r="G250" s="385">
        <v>45413</v>
      </c>
      <c r="H250" s="367" t="s">
        <v>9</v>
      </c>
      <c r="I250" s="368" t="str">
        <f>VLOOKUP(H250,'[2]Source Codes'!A$2:B$115,2,FALSE)</f>
        <v>On Line Journal Entries</v>
      </c>
      <c r="J250" s="412">
        <v>11537208</v>
      </c>
      <c r="K250" s="385">
        <v>45414</v>
      </c>
      <c r="L250" s="387" t="s">
        <v>837</v>
      </c>
      <c r="M250" s="388">
        <v>45414.417175925926</v>
      </c>
      <c r="N250" s="368" t="s">
        <v>360</v>
      </c>
      <c r="O250" s="368" t="s">
        <v>380</v>
      </c>
    </row>
    <row r="251" spans="1:15" ht="45" hidden="1" outlineLevel="1">
      <c r="B251" s="384">
        <v>2024</v>
      </c>
      <c r="C251" s="384">
        <v>10</v>
      </c>
      <c r="D251" s="367" t="s">
        <v>5</v>
      </c>
      <c r="E251" s="367" t="s">
        <v>6</v>
      </c>
      <c r="F251" s="367" t="s">
        <v>828</v>
      </c>
      <c r="G251" s="385">
        <v>45409</v>
      </c>
      <c r="H251" s="367" t="s">
        <v>9</v>
      </c>
      <c r="I251" s="368" t="str">
        <f>VLOOKUP(H251,'[2]Source Codes'!A$2:B$115,2,FALSE)</f>
        <v>On Line Journal Entries</v>
      </c>
      <c r="J251" s="412">
        <v>9500102.9399999995</v>
      </c>
      <c r="K251" s="385">
        <v>45414</v>
      </c>
      <c r="L251" s="387" t="s">
        <v>833</v>
      </c>
      <c r="M251" s="388">
        <v>45414.580555555556</v>
      </c>
      <c r="N251" s="368" t="s">
        <v>356</v>
      </c>
      <c r="O251" s="368" t="s">
        <v>371</v>
      </c>
    </row>
    <row r="252" spans="1:15" ht="60" hidden="1" outlineLevel="1">
      <c r="B252" s="384">
        <v>2024</v>
      </c>
      <c r="C252" s="384">
        <v>10</v>
      </c>
      <c r="D252" s="367" t="s">
        <v>5</v>
      </c>
      <c r="E252" s="367" t="s">
        <v>6</v>
      </c>
      <c r="F252" s="367" t="s">
        <v>829</v>
      </c>
      <c r="G252" s="385">
        <v>45409</v>
      </c>
      <c r="H252" s="367" t="s">
        <v>9</v>
      </c>
      <c r="I252" s="368" t="str">
        <f>VLOOKUP(H252,'[2]Source Codes'!A$2:B$115,2,FALSE)</f>
        <v>On Line Journal Entries</v>
      </c>
      <c r="J252" s="412">
        <v>3348859.09</v>
      </c>
      <c r="K252" s="385">
        <v>45414</v>
      </c>
      <c r="L252" s="387" t="s">
        <v>835</v>
      </c>
      <c r="M252" s="388">
        <v>45414.601793981485</v>
      </c>
      <c r="N252" s="368" t="s">
        <v>356</v>
      </c>
      <c r="O252" s="368" t="s">
        <v>371</v>
      </c>
    </row>
    <row r="253" spans="1:15" ht="15" hidden="1" outlineLevel="1">
      <c r="B253" s="384">
        <v>2024</v>
      </c>
      <c r="C253" s="384">
        <v>10</v>
      </c>
      <c r="D253" s="367" t="s">
        <v>5</v>
      </c>
      <c r="E253" s="367" t="s">
        <v>6</v>
      </c>
      <c r="F253" s="367" t="s">
        <v>830</v>
      </c>
      <c r="G253" s="385">
        <v>45412</v>
      </c>
      <c r="H253" s="367" t="s">
        <v>351</v>
      </c>
      <c r="I253" s="368" t="str">
        <f>VLOOKUP(H253,'[2]Source Codes'!A$2:B$115,2,FALSE)</f>
        <v>Treasurer Tax Collector</v>
      </c>
      <c r="J253" s="412">
        <v>1525454.62</v>
      </c>
      <c r="K253" s="385">
        <v>45414</v>
      </c>
      <c r="L253" s="387" t="s">
        <v>836</v>
      </c>
      <c r="M253" s="388">
        <v>45414.468043981484</v>
      </c>
      <c r="N253" s="368" t="s">
        <v>372</v>
      </c>
      <c r="O253" s="368" t="s">
        <v>380</v>
      </c>
    </row>
    <row r="254" spans="1:15" ht="15" hidden="1" outlineLevel="1">
      <c r="B254" s="384">
        <v>2024</v>
      </c>
      <c r="C254" s="384">
        <v>10</v>
      </c>
      <c r="D254" s="367" t="s">
        <v>5</v>
      </c>
      <c r="E254" s="367" t="s">
        <v>6</v>
      </c>
      <c r="F254" s="367" t="s">
        <v>831</v>
      </c>
      <c r="G254" s="385">
        <v>45409</v>
      </c>
      <c r="H254" s="367" t="s">
        <v>9</v>
      </c>
      <c r="I254" s="368" t="str">
        <f>VLOOKUP(H254,'[2]Source Codes'!A$2:B$115,2,FALSE)</f>
        <v>On Line Journal Entries</v>
      </c>
      <c r="J254" s="412">
        <v>1333523.08</v>
      </c>
      <c r="K254" s="385">
        <v>45414</v>
      </c>
      <c r="L254" s="387" t="s">
        <v>834</v>
      </c>
      <c r="M254" s="388">
        <v>45414.617106481484</v>
      </c>
      <c r="N254" s="368" t="s">
        <v>356</v>
      </c>
      <c r="O254" s="368" t="s">
        <v>371</v>
      </c>
    </row>
    <row r="255" spans="1:15" ht="12.75" customHeight="1" collapsed="1">
      <c r="J255" s="413">
        <f>SUM(J248:J254)</f>
        <v>39276594.899999999</v>
      </c>
    </row>
    <row r="257" spans="1:15" ht="12.75" customHeight="1">
      <c r="A257" s="378" t="s">
        <v>852</v>
      </c>
    </row>
    <row r="258" spans="1:15" ht="12.75" hidden="1" customHeight="1" outlineLevel="1">
      <c r="B258" s="384">
        <v>2024</v>
      </c>
      <c r="C258" s="384">
        <v>11</v>
      </c>
      <c r="D258" s="367" t="s">
        <v>5</v>
      </c>
      <c r="E258" s="367" t="s">
        <v>6</v>
      </c>
      <c r="F258" s="367" t="s">
        <v>839</v>
      </c>
      <c r="G258" s="385">
        <v>45413</v>
      </c>
      <c r="H258" s="367" t="s">
        <v>7</v>
      </c>
      <c r="I258" s="368" t="str">
        <f>VLOOKUP(H258,'[2]Source Codes'!A$2:B$115,2,FALSE)</f>
        <v>HRMS Interface Journals</v>
      </c>
      <c r="J258" s="412">
        <v>-2415954.41</v>
      </c>
      <c r="K258" s="385">
        <v>45415</v>
      </c>
      <c r="L258" s="387" t="s">
        <v>350</v>
      </c>
      <c r="M258" s="388">
        <v>45415.309236111112</v>
      </c>
      <c r="N258" s="368" t="s">
        <v>378</v>
      </c>
      <c r="O258" s="368" t="s">
        <v>379</v>
      </c>
    </row>
    <row r="259" spans="1:15" ht="12.75" hidden="1" customHeight="1" outlineLevel="1">
      <c r="B259" s="384">
        <v>2024</v>
      </c>
      <c r="C259" s="384">
        <v>11</v>
      </c>
      <c r="D259" s="367" t="s">
        <v>5</v>
      </c>
      <c r="E259" s="367" t="s">
        <v>6</v>
      </c>
      <c r="F259" s="367" t="s">
        <v>840</v>
      </c>
      <c r="G259" s="385">
        <v>45413</v>
      </c>
      <c r="H259" s="367" t="s">
        <v>7</v>
      </c>
      <c r="I259" s="368" t="str">
        <f>VLOOKUP(H259,'[2]Source Codes'!A$2:B$115,2,FALSE)</f>
        <v>HRMS Interface Journals</v>
      </c>
      <c r="J259" s="412">
        <v>-10859920.99</v>
      </c>
      <c r="K259" s="385">
        <v>45415</v>
      </c>
      <c r="L259" s="387" t="s">
        <v>349</v>
      </c>
      <c r="M259" s="388">
        <v>45415.306504629632</v>
      </c>
      <c r="N259" s="368" t="s">
        <v>378</v>
      </c>
      <c r="O259" s="368" t="s">
        <v>379</v>
      </c>
    </row>
    <row r="260" spans="1:15" ht="12.75" customHeight="1" collapsed="1">
      <c r="J260" s="413">
        <f>SUM(J258:J259)</f>
        <v>-13275875.4</v>
      </c>
    </row>
    <row r="262" spans="1:15" ht="12.75" customHeight="1">
      <c r="A262" s="378" t="s">
        <v>853</v>
      </c>
    </row>
    <row r="263" spans="1:15" ht="30" hidden="1" outlineLevel="1">
      <c r="B263" s="384">
        <v>2024</v>
      </c>
      <c r="C263" s="384">
        <v>11</v>
      </c>
      <c r="D263" s="367" t="s">
        <v>5</v>
      </c>
      <c r="E263" s="367" t="s">
        <v>6</v>
      </c>
      <c r="F263" s="367" t="s">
        <v>841</v>
      </c>
      <c r="G263" s="385">
        <v>45420</v>
      </c>
      <c r="H263" s="367" t="s">
        <v>14</v>
      </c>
      <c r="I263" s="368" t="str">
        <f>VLOOKUP(H263,'[2]Source Codes'!A$2:B$115,2,FALSE)</f>
        <v>AP Warrant Issuance</v>
      </c>
      <c r="J263" s="412">
        <v>-1214239.0900000001</v>
      </c>
      <c r="K263" s="385">
        <v>45418</v>
      </c>
      <c r="L263" s="387" t="s">
        <v>842</v>
      </c>
      <c r="M263" s="388">
        <v>45418.793449074074</v>
      </c>
      <c r="N263" s="368" t="s">
        <v>356</v>
      </c>
      <c r="O263" s="368" t="s">
        <v>368</v>
      </c>
    </row>
    <row r="264" spans="1:15" ht="12.75" customHeight="1" collapsed="1">
      <c r="J264" s="413">
        <f>SUM(J263)</f>
        <v>-1214239.0900000001</v>
      </c>
    </row>
    <row r="266" spans="1:15" ht="12.75" customHeight="1">
      <c r="A266" s="378" t="s">
        <v>854</v>
      </c>
    </row>
    <row r="267" spans="1:15" ht="30" hidden="1" outlineLevel="1">
      <c r="B267" s="384">
        <v>2024</v>
      </c>
      <c r="C267" s="384">
        <v>11</v>
      </c>
      <c r="D267" s="367" t="s">
        <v>5</v>
      </c>
      <c r="E267" s="367" t="s">
        <v>6</v>
      </c>
      <c r="F267" s="367" t="s">
        <v>843</v>
      </c>
      <c r="G267" s="385">
        <v>45421</v>
      </c>
      <c r="H267" s="367" t="s">
        <v>14</v>
      </c>
      <c r="I267" s="368" t="str">
        <f>VLOOKUP(H267,'[2]Source Codes'!A$2:B$115,2,FALSE)</f>
        <v>AP Warrant Issuance</v>
      </c>
      <c r="J267" s="412">
        <v>-3759318.85</v>
      </c>
      <c r="K267" s="385">
        <v>45419</v>
      </c>
      <c r="L267" s="387" t="s">
        <v>845</v>
      </c>
      <c r="M267" s="388">
        <v>45419.793402777781</v>
      </c>
      <c r="N267" s="368" t="s">
        <v>356</v>
      </c>
      <c r="O267" s="368" t="s">
        <v>368</v>
      </c>
    </row>
    <row r="268" spans="1:15" ht="45" hidden="1" outlineLevel="1">
      <c r="B268" s="384">
        <v>2024</v>
      </c>
      <c r="C268" s="384">
        <v>11</v>
      </c>
      <c r="D268" s="367" t="s">
        <v>5</v>
      </c>
      <c r="E268" s="367" t="s">
        <v>6</v>
      </c>
      <c r="F268" s="367" t="s">
        <v>844</v>
      </c>
      <c r="G268" s="385">
        <v>45413</v>
      </c>
      <c r="H268" s="367" t="s">
        <v>11</v>
      </c>
      <c r="I268" s="368" t="str">
        <f>VLOOKUP(H268,'[2]Source Codes'!A$2:B$115,2,FALSE)</f>
        <v>AR Payments</v>
      </c>
      <c r="J268" s="412">
        <v>1320345.6000000001</v>
      </c>
      <c r="K268" s="385">
        <v>45419</v>
      </c>
      <c r="L268" s="387" t="s">
        <v>846</v>
      </c>
      <c r="M268" s="388">
        <v>45419.751585648148</v>
      </c>
      <c r="N268" s="368" t="s">
        <v>356</v>
      </c>
      <c r="O268" s="368" t="s">
        <v>357</v>
      </c>
    </row>
    <row r="269" spans="1:15" ht="12.75" customHeight="1" collapsed="1">
      <c r="J269" s="413">
        <f>SUM(J267:J268)</f>
        <v>-2438973.25</v>
      </c>
    </row>
    <row r="271" spans="1:15" ht="12.75" customHeight="1">
      <c r="A271" s="378" t="s">
        <v>855</v>
      </c>
    </row>
    <row r="272" spans="1:15" ht="30" hidden="1" outlineLevel="1">
      <c r="B272" s="384">
        <v>2024</v>
      </c>
      <c r="C272" s="384">
        <v>11</v>
      </c>
      <c r="D272" s="367" t="s">
        <v>5</v>
      </c>
      <c r="E272" s="367" t="s">
        <v>6</v>
      </c>
      <c r="F272" s="367" t="s">
        <v>856</v>
      </c>
      <c r="G272" s="385">
        <v>45420</v>
      </c>
      <c r="H272" s="367" t="s">
        <v>14</v>
      </c>
      <c r="I272" s="368" t="str">
        <f>VLOOKUP(H272,'[2]Source Codes'!A$2:B$115,2,FALSE)</f>
        <v>AP Warrant Issuance</v>
      </c>
      <c r="J272" s="412">
        <v>-1742459.69</v>
      </c>
      <c r="K272" s="385">
        <v>45420</v>
      </c>
      <c r="L272" s="387" t="s">
        <v>871</v>
      </c>
      <c r="M272" s="388">
        <v>45420.793564814812</v>
      </c>
      <c r="N272" s="368" t="s">
        <v>356</v>
      </c>
      <c r="O272" s="368" t="s">
        <v>368</v>
      </c>
    </row>
    <row r="273" spans="2:15" ht="30" hidden="1" outlineLevel="1">
      <c r="B273" s="384">
        <v>2024</v>
      </c>
      <c r="C273" s="384">
        <v>11</v>
      </c>
      <c r="D273" s="367" t="s">
        <v>5</v>
      </c>
      <c r="E273" s="367" t="s">
        <v>6</v>
      </c>
      <c r="F273" s="367" t="s">
        <v>857</v>
      </c>
      <c r="G273" s="385">
        <v>45422</v>
      </c>
      <c r="H273" s="367" t="s">
        <v>14</v>
      </c>
      <c r="I273" s="368" t="str">
        <f>VLOOKUP(H273,'[2]Source Codes'!A$2:B$115,2,FALSE)</f>
        <v>AP Warrant Issuance</v>
      </c>
      <c r="J273" s="412">
        <v>-1088914.25</v>
      </c>
      <c r="K273" s="385">
        <v>45420</v>
      </c>
      <c r="L273" s="387" t="s">
        <v>872</v>
      </c>
      <c r="M273" s="388">
        <v>45420.793564814812</v>
      </c>
      <c r="N273" s="368" t="s">
        <v>356</v>
      </c>
      <c r="O273" s="368" t="s">
        <v>368</v>
      </c>
    </row>
    <row r="274" spans="2:15" ht="30" hidden="1" outlineLevel="1">
      <c r="B274" s="384">
        <v>2024</v>
      </c>
      <c r="C274" s="384">
        <v>11</v>
      </c>
      <c r="D274" s="367" t="s">
        <v>5</v>
      </c>
      <c r="E274" s="367" t="s">
        <v>6</v>
      </c>
      <c r="F274" s="367" t="s">
        <v>858</v>
      </c>
      <c r="G274" s="385">
        <v>45419</v>
      </c>
      <c r="H274" s="367" t="s">
        <v>12</v>
      </c>
      <c r="I274" s="368" t="str">
        <f>VLOOKUP(H274,'[2]Source Codes'!A$2:B$115,2,FALSE)</f>
        <v>AR Direct Cash Journal</v>
      </c>
      <c r="J274" s="412">
        <v>2229147.12</v>
      </c>
      <c r="K274" s="385">
        <v>45420</v>
      </c>
      <c r="L274" s="387" t="s">
        <v>873</v>
      </c>
      <c r="M274" s="388">
        <v>45420.751793981479</v>
      </c>
      <c r="N274" s="368" t="s">
        <v>356</v>
      </c>
      <c r="O274" s="368" t="s">
        <v>362</v>
      </c>
    </row>
    <row r="275" spans="2:15" ht="30" hidden="1" outlineLevel="1">
      <c r="B275" s="384">
        <v>2024</v>
      </c>
      <c r="C275" s="384">
        <v>11</v>
      </c>
      <c r="D275" s="367" t="s">
        <v>5</v>
      </c>
      <c r="E275" s="367" t="s">
        <v>6</v>
      </c>
      <c r="F275" s="367" t="s">
        <v>859</v>
      </c>
      <c r="G275" s="385">
        <v>45413</v>
      </c>
      <c r="H275" s="367" t="s">
        <v>11</v>
      </c>
      <c r="I275" s="368" t="str">
        <f>VLOOKUP(H275,'[2]Source Codes'!A$2:B$115,2,FALSE)</f>
        <v>AR Payments</v>
      </c>
      <c r="J275" s="412">
        <v>1192440.54</v>
      </c>
      <c r="K275" s="385">
        <v>45420</v>
      </c>
      <c r="L275" s="387" t="s">
        <v>874</v>
      </c>
      <c r="M275" s="388">
        <v>45420.751793981479</v>
      </c>
      <c r="N275" s="368" t="s">
        <v>356</v>
      </c>
      <c r="O275" s="368" t="s">
        <v>357</v>
      </c>
    </row>
    <row r="276" spans="2:15" ht="30" hidden="1" outlineLevel="1">
      <c r="B276" s="384">
        <v>2024</v>
      </c>
      <c r="C276" s="384">
        <v>11</v>
      </c>
      <c r="D276" s="367" t="s">
        <v>5</v>
      </c>
      <c r="E276" s="367" t="s">
        <v>6</v>
      </c>
      <c r="F276" s="367" t="s">
        <v>860</v>
      </c>
      <c r="G276" s="385">
        <v>45413</v>
      </c>
      <c r="H276" s="367" t="s">
        <v>9</v>
      </c>
      <c r="I276" s="368" t="str">
        <f>VLOOKUP(H276,'[2]Source Codes'!A$2:B$115,2,FALSE)</f>
        <v>On Line Journal Entries</v>
      </c>
      <c r="J276" s="412">
        <v>18977139</v>
      </c>
      <c r="K276" s="385">
        <v>45420</v>
      </c>
      <c r="L276" s="387" t="s">
        <v>344</v>
      </c>
      <c r="M276" s="388">
        <v>45420.869745370372</v>
      </c>
      <c r="N276" s="368" t="s">
        <v>356</v>
      </c>
      <c r="O276" s="368" t="s">
        <v>364</v>
      </c>
    </row>
    <row r="277" spans="2:15" ht="30" hidden="1" outlineLevel="1">
      <c r="B277" s="384">
        <v>2024</v>
      </c>
      <c r="C277" s="384">
        <v>11</v>
      </c>
      <c r="D277" s="367" t="s">
        <v>5</v>
      </c>
      <c r="E277" s="367" t="s">
        <v>6</v>
      </c>
      <c r="F277" s="367" t="s">
        <v>861</v>
      </c>
      <c r="G277" s="385">
        <v>45413</v>
      </c>
      <c r="H277" s="367" t="s">
        <v>9</v>
      </c>
      <c r="I277" s="368" t="str">
        <f>VLOOKUP(H277,'[2]Source Codes'!A$2:B$115,2,FALSE)</f>
        <v>On Line Journal Entries</v>
      </c>
      <c r="J277" s="412">
        <v>11038160</v>
      </c>
      <c r="K277" s="385">
        <v>45420</v>
      </c>
      <c r="L277" s="387" t="s">
        <v>344</v>
      </c>
      <c r="M277" s="388">
        <v>45420.356689814813</v>
      </c>
      <c r="N277" s="368" t="s">
        <v>356</v>
      </c>
      <c r="O277" s="368" t="s">
        <v>364</v>
      </c>
    </row>
    <row r="278" spans="2:15" ht="15" hidden="1" outlineLevel="1">
      <c r="B278" s="384">
        <v>2024</v>
      </c>
      <c r="C278" s="384">
        <v>11</v>
      </c>
      <c r="D278" s="367" t="s">
        <v>5</v>
      </c>
      <c r="E278" s="367" t="s">
        <v>6</v>
      </c>
      <c r="F278" s="367" t="s">
        <v>862</v>
      </c>
      <c r="G278" s="385">
        <v>45418</v>
      </c>
      <c r="H278" s="367" t="s">
        <v>16</v>
      </c>
      <c r="I278" s="368" t="str">
        <f>VLOOKUP(H278,'[2]Source Codes'!A$2:B$115,2,FALSE)</f>
        <v>Property Tax Interface</v>
      </c>
      <c r="J278" s="412">
        <v>8135377.2400000002</v>
      </c>
      <c r="K278" s="385">
        <v>45420</v>
      </c>
      <c r="L278" s="387" t="s">
        <v>876</v>
      </c>
      <c r="M278" s="388">
        <v>45420.368807870371</v>
      </c>
      <c r="N278" s="368" t="s">
        <v>361</v>
      </c>
      <c r="O278" s="368" t="s">
        <v>384</v>
      </c>
    </row>
    <row r="279" spans="2:15" ht="30" hidden="1" outlineLevel="1">
      <c r="B279" s="384">
        <v>2024</v>
      </c>
      <c r="C279" s="384">
        <v>11</v>
      </c>
      <c r="D279" s="367" t="s">
        <v>5</v>
      </c>
      <c r="E279" s="367" t="s">
        <v>6</v>
      </c>
      <c r="F279" s="367" t="s">
        <v>863</v>
      </c>
      <c r="G279" s="385">
        <v>45413</v>
      </c>
      <c r="H279" s="367" t="s">
        <v>9</v>
      </c>
      <c r="I279" s="368" t="str">
        <f>VLOOKUP(H279,'[2]Source Codes'!A$2:B$115,2,FALSE)</f>
        <v>On Line Journal Entries</v>
      </c>
      <c r="J279" s="412">
        <v>6750603</v>
      </c>
      <c r="K279" s="385">
        <v>45420</v>
      </c>
      <c r="L279" s="387" t="s">
        <v>344</v>
      </c>
      <c r="M279" s="388">
        <v>45420.353333333333</v>
      </c>
      <c r="N279" s="368" t="s">
        <v>356</v>
      </c>
      <c r="O279" s="368" t="s">
        <v>364</v>
      </c>
    </row>
    <row r="280" spans="2:15" ht="30" hidden="1" outlineLevel="1">
      <c r="B280" s="384">
        <v>2024</v>
      </c>
      <c r="C280" s="384">
        <v>11</v>
      </c>
      <c r="D280" s="367" t="s">
        <v>5</v>
      </c>
      <c r="E280" s="367" t="s">
        <v>6</v>
      </c>
      <c r="F280" s="367" t="s">
        <v>864</v>
      </c>
      <c r="G280" s="385">
        <v>45413</v>
      </c>
      <c r="H280" s="367" t="s">
        <v>9</v>
      </c>
      <c r="I280" s="368" t="str">
        <f>VLOOKUP(H280,'[2]Source Codes'!A$2:B$115,2,FALSE)</f>
        <v>On Line Journal Entries</v>
      </c>
      <c r="J280" s="412">
        <v>6193930</v>
      </c>
      <c r="K280" s="385">
        <v>45420</v>
      </c>
      <c r="L280" s="387" t="s">
        <v>344</v>
      </c>
      <c r="M280" s="388">
        <v>45420.357534722221</v>
      </c>
      <c r="N280" s="368" t="s">
        <v>356</v>
      </c>
      <c r="O280" s="368" t="s">
        <v>364</v>
      </c>
    </row>
    <row r="281" spans="2:15" ht="30" hidden="1" outlineLevel="1">
      <c r="B281" s="384">
        <v>2024</v>
      </c>
      <c r="C281" s="384">
        <v>11</v>
      </c>
      <c r="D281" s="367" t="s">
        <v>5</v>
      </c>
      <c r="E281" s="367" t="s">
        <v>6</v>
      </c>
      <c r="F281" s="367" t="s">
        <v>865</v>
      </c>
      <c r="G281" s="385">
        <v>45413</v>
      </c>
      <c r="H281" s="367" t="s">
        <v>9</v>
      </c>
      <c r="I281" s="368" t="str">
        <f>VLOOKUP(H281,'[2]Source Codes'!A$2:B$115,2,FALSE)</f>
        <v>On Line Journal Entries</v>
      </c>
      <c r="J281" s="412">
        <v>5123111</v>
      </c>
      <c r="K281" s="385">
        <v>45420</v>
      </c>
      <c r="L281" s="387" t="s">
        <v>334</v>
      </c>
      <c r="M281" s="388">
        <v>45420.869745370372</v>
      </c>
      <c r="N281" s="368" t="s">
        <v>356</v>
      </c>
      <c r="O281" s="368" t="s">
        <v>364</v>
      </c>
    </row>
    <row r="282" spans="2:15" ht="30" hidden="1" outlineLevel="1">
      <c r="B282" s="384">
        <v>2024</v>
      </c>
      <c r="C282" s="384">
        <v>11</v>
      </c>
      <c r="D282" s="367" t="s">
        <v>5</v>
      </c>
      <c r="E282" s="367" t="s">
        <v>6</v>
      </c>
      <c r="F282" s="367" t="s">
        <v>866</v>
      </c>
      <c r="G282" s="385">
        <v>45418</v>
      </c>
      <c r="H282" s="367" t="s">
        <v>9</v>
      </c>
      <c r="I282" s="368" t="str">
        <f>VLOOKUP(H282,'[2]Source Codes'!A$2:B$115,2,FALSE)</f>
        <v>On Line Journal Entries</v>
      </c>
      <c r="J282" s="412">
        <v>5090566</v>
      </c>
      <c r="K282" s="385">
        <v>45420</v>
      </c>
      <c r="L282" s="387" t="s">
        <v>334</v>
      </c>
      <c r="M282" s="388">
        <v>45420.869745370372</v>
      </c>
      <c r="N282" s="368" t="s">
        <v>356</v>
      </c>
      <c r="O282" s="368" t="s">
        <v>364</v>
      </c>
    </row>
    <row r="283" spans="2:15" ht="60" hidden="1" outlineLevel="1">
      <c r="B283" s="384">
        <v>2024</v>
      </c>
      <c r="C283" s="384">
        <v>11</v>
      </c>
      <c r="D283" s="367" t="s">
        <v>5</v>
      </c>
      <c r="E283" s="367" t="s">
        <v>6</v>
      </c>
      <c r="F283" s="367" t="s">
        <v>867</v>
      </c>
      <c r="G283" s="385">
        <v>45413</v>
      </c>
      <c r="H283" s="367" t="s">
        <v>9</v>
      </c>
      <c r="I283" s="368" t="str">
        <f>VLOOKUP(H283,'[2]Source Codes'!A$2:B$115,2,FALSE)</f>
        <v>On Line Journal Entries</v>
      </c>
      <c r="J283" s="412">
        <v>4466427.62</v>
      </c>
      <c r="K283" s="385">
        <v>45420</v>
      </c>
      <c r="L283" s="387" t="s">
        <v>347</v>
      </c>
      <c r="M283" s="388">
        <v>45420.869745370372</v>
      </c>
      <c r="N283" s="368" t="s">
        <v>356</v>
      </c>
      <c r="O283" s="368" t="s">
        <v>364</v>
      </c>
    </row>
    <row r="284" spans="2:15" ht="45" hidden="1" outlineLevel="1">
      <c r="B284" s="384">
        <v>2024</v>
      </c>
      <c r="C284" s="384">
        <v>11</v>
      </c>
      <c r="D284" s="367" t="s">
        <v>5</v>
      </c>
      <c r="E284" s="367" t="s">
        <v>6</v>
      </c>
      <c r="F284" s="367" t="s">
        <v>868</v>
      </c>
      <c r="G284" s="385">
        <v>45415</v>
      </c>
      <c r="H284" s="367" t="s">
        <v>9</v>
      </c>
      <c r="I284" s="368" t="str">
        <f>VLOOKUP(H284,'[2]Source Codes'!A$2:B$115,2,FALSE)</f>
        <v>On Line Journal Entries</v>
      </c>
      <c r="J284" s="412">
        <v>3458323</v>
      </c>
      <c r="K284" s="385">
        <v>45420</v>
      </c>
      <c r="L284" s="387" t="s">
        <v>343</v>
      </c>
      <c r="M284" s="388">
        <v>45420.869745370372</v>
      </c>
      <c r="N284" s="368" t="s">
        <v>356</v>
      </c>
      <c r="O284" s="368" t="s">
        <v>364</v>
      </c>
    </row>
    <row r="285" spans="2:15" ht="15" hidden="1" outlineLevel="1">
      <c r="B285" s="384">
        <v>2024</v>
      </c>
      <c r="C285" s="384">
        <v>11</v>
      </c>
      <c r="D285" s="367" t="s">
        <v>5</v>
      </c>
      <c r="E285" s="367" t="s">
        <v>6</v>
      </c>
      <c r="F285" s="367" t="s">
        <v>869</v>
      </c>
      <c r="G285" s="385">
        <v>45420</v>
      </c>
      <c r="H285" s="367" t="s">
        <v>110</v>
      </c>
      <c r="I285" s="368" t="str">
        <f>VLOOKUP(H285,'[2]Source Codes'!A$2:B$115,2,FALSE)</f>
        <v>Treasurers Interest Apportion</v>
      </c>
      <c r="J285" s="412">
        <v>2040186.06</v>
      </c>
      <c r="K285" s="385">
        <v>45420</v>
      </c>
      <c r="L285" s="387" t="s">
        <v>875</v>
      </c>
      <c r="M285" s="388">
        <v>45420.561967592592</v>
      </c>
      <c r="N285" s="368" t="s">
        <v>372</v>
      </c>
      <c r="O285" s="368" t="s">
        <v>371</v>
      </c>
    </row>
    <row r="286" spans="2:15" ht="15" hidden="1" outlineLevel="1">
      <c r="B286" s="384">
        <v>2024</v>
      </c>
      <c r="C286" s="384">
        <v>11</v>
      </c>
      <c r="D286" s="367" t="s">
        <v>5</v>
      </c>
      <c r="E286" s="367" t="s">
        <v>6</v>
      </c>
      <c r="F286" s="367" t="s">
        <v>870</v>
      </c>
      <c r="G286" s="385">
        <v>45413</v>
      </c>
      <c r="H286" s="367" t="s">
        <v>7</v>
      </c>
      <c r="I286" s="368" t="str">
        <f>VLOOKUP(H286,'[2]Source Codes'!A$2:B$115,2,FALSE)</f>
        <v>HRMS Interface Journals</v>
      </c>
      <c r="J286" s="412">
        <v>-66796193.130000003</v>
      </c>
      <c r="K286" s="385">
        <v>45420</v>
      </c>
      <c r="L286" s="387" t="s">
        <v>348</v>
      </c>
      <c r="M286" s="388">
        <v>45420.312962962962</v>
      </c>
      <c r="N286" s="368" t="s">
        <v>378</v>
      </c>
      <c r="O286" s="368" t="s">
        <v>379</v>
      </c>
    </row>
    <row r="287" spans="2:15" ht="12.75" customHeight="1" collapsed="1">
      <c r="J287" s="413">
        <f>SUM(J272:J286)</f>
        <v>5067843.5099999979</v>
      </c>
    </row>
    <row r="289" spans="1:15" ht="12.75" customHeight="1">
      <c r="A289" s="378" t="s">
        <v>877</v>
      </c>
    </row>
    <row r="290" spans="1:15" ht="45" hidden="1" outlineLevel="1">
      <c r="B290" s="384">
        <v>2024</v>
      </c>
      <c r="C290" s="384">
        <v>11</v>
      </c>
      <c r="D290" s="367" t="s">
        <v>5</v>
      </c>
      <c r="E290" s="367" t="s">
        <v>6</v>
      </c>
      <c r="F290" s="367" t="s">
        <v>878</v>
      </c>
      <c r="G290" s="385">
        <v>45427</v>
      </c>
      <c r="H290" s="367" t="s">
        <v>14</v>
      </c>
      <c r="I290" s="368" t="str">
        <f>VLOOKUP(H290,'[2]Source Codes'!A$2:B$115,2,FALSE)</f>
        <v>AP Warrant Issuance</v>
      </c>
      <c r="J290" s="412">
        <v>-1952749.12</v>
      </c>
      <c r="K290" s="385">
        <v>45425</v>
      </c>
      <c r="L290" s="387" t="s">
        <v>885</v>
      </c>
      <c r="M290" s="388">
        <v>45425.79415509259</v>
      </c>
      <c r="N290" s="368" t="s">
        <v>360</v>
      </c>
      <c r="O290" s="368" t="s">
        <v>364</v>
      </c>
    </row>
    <row r="291" spans="1:15" ht="30" hidden="1" outlineLevel="1">
      <c r="B291" s="384">
        <v>2024</v>
      </c>
      <c r="C291" s="384">
        <v>11</v>
      </c>
      <c r="D291" s="367" t="s">
        <v>5</v>
      </c>
      <c r="E291" s="367" t="s">
        <v>6</v>
      </c>
      <c r="F291" s="367" t="s">
        <v>879</v>
      </c>
      <c r="G291" s="385">
        <v>45420</v>
      </c>
      <c r="H291" s="367" t="s">
        <v>11</v>
      </c>
      <c r="I291" s="368" t="str">
        <f>VLOOKUP(H291,'[2]Source Codes'!A$2:B$115,2,FALSE)</f>
        <v>AR Payments</v>
      </c>
      <c r="J291" s="412">
        <v>3108467.92</v>
      </c>
      <c r="K291" s="385">
        <v>45425</v>
      </c>
      <c r="L291" s="387" t="s">
        <v>886</v>
      </c>
      <c r="M291" s="388">
        <v>45425.751817129632</v>
      </c>
      <c r="N291" s="368" t="s">
        <v>356</v>
      </c>
      <c r="O291" s="368" t="s">
        <v>357</v>
      </c>
    </row>
    <row r="292" spans="1:15" ht="30" hidden="1" outlineLevel="1">
      <c r="B292" s="384">
        <v>2024</v>
      </c>
      <c r="C292" s="384">
        <v>11</v>
      </c>
      <c r="D292" s="367" t="s">
        <v>5</v>
      </c>
      <c r="E292" s="367" t="s">
        <v>6</v>
      </c>
      <c r="F292" s="367" t="s">
        <v>880</v>
      </c>
      <c r="G292" s="385">
        <v>45419</v>
      </c>
      <c r="H292" s="367" t="s">
        <v>11</v>
      </c>
      <c r="I292" s="368" t="str">
        <f>VLOOKUP(H292,'[2]Source Codes'!A$2:B$115,2,FALSE)</f>
        <v>AR Payments</v>
      </c>
      <c r="J292" s="412">
        <v>1268791.18</v>
      </c>
      <c r="K292" s="385">
        <v>45425</v>
      </c>
      <c r="L292" s="387" t="s">
        <v>887</v>
      </c>
      <c r="M292" s="388">
        <v>45425.751817129632</v>
      </c>
      <c r="N292" s="368" t="s">
        <v>356</v>
      </c>
      <c r="O292" s="368" t="s">
        <v>357</v>
      </c>
    </row>
    <row r="293" spans="1:15" ht="12.75" hidden="1" customHeight="1" outlineLevel="1">
      <c r="B293" s="384">
        <v>2024</v>
      </c>
      <c r="C293" s="384">
        <v>11</v>
      </c>
      <c r="D293" s="367" t="s">
        <v>5</v>
      </c>
      <c r="E293" s="367" t="s">
        <v>6</v>
      </c>
      <c r="F293" s="367" t="s">
        <v>881</v>
      </c>
      <c r="G293" s="385">
        <v>45422</v>
      </c>
      <c r="H293" s="367" t="s">
        <v>16</v>
      </c>
      <c r="I293" s="368" t="str">
        <f>VLOOKUP(H293,'[2]Source Codes'!A$2:B$115,2,FALSE)</f>
        <v>Property Tax Interface</v>
      </c>
      <c r="J293" s="412">
        <v>7407192.7400000002</v>
      </c>
      <c r="K293" s="385">
        <v>45425</v>
      </c>
      <c r="L293" s="387" t="s">
        <v>883</v>
      </c>
      <c r="M293" s="388">
        <v>45425.631805555553</v>
      </c>
      <c r="N293" s="368" t="s">
        <v>372</v>
      </c>
      <c r="O293" s="368" t="s">
        <v>384</v>
      </c>
    </row>
    <row r="294" spans="1:15" ht="12.75" hidden="1" customHeight="1" outlineLevel="1">
      <c r="B294" s="384">
        <v>2024</v>
      </c>
      <c r="C294" s="384">
        <v>11</v>
      </c>
      <c r="D294" s="367" t="s">
        <v>5</v>
      </c>
      <c r="E294" s="367" t="s">
        <v>6</v>
      </c>
      <c r="F294" s="367" t="s">
        <v>882</v>
      </c>
      <c r="G294" s="385">
        <v>45421</v>
      </c>
      <c r="H294" s="367" t="s">
        <v>9</v>
      </c>
      <c r="I294" s="368" t="str">
        <f>VLOOKUP(H294,'[2]Source Codes'!A$2:B$115,2,FALSE)</f>
        <v>On Line Journal Entries</v>
      </c>
      <c r="J294" s="412">
        <v>4533281</v>
      </c>
      <c r="K294" s="385">
        <v>45425</v>
      </c>
      <c r="L294" s="387" t="s">
        <v>884</v>
      </c>
      <c r="M294" s="388">
        <v>45425.869618055556</v>
      </c>
      <c r="N294" s="368" t="s">
        <v>356</v>
      </c>
      <c r="O294" s="368" t="s">
        <v>369</v>
      </c>
    </row>
    <row r="295" spans="1:15" ht="12.75" customHeight="1" collapsed="1">
      <c r="J295" s="413">
        <f>SUM(J290:J294)</f>
        <v>14364983.719999999</v>
      </c>
    </row>
    <row r="297" spans="1:15" ht="12.75" customHeight="1">
      <c r="A297" s="378" t="s">
        <v>888</v>
      </c>
    </row>
    <row r="298" spans="1:15" ht="15" hidden="1" outlineLevel="1">
      <c r="B298" s="384">
        <v>2024</v>
      </c>
      <c r="C298" s="384">
        <v>11</v>
      </c>
      <c r="D298" s="367" t="s">
        <v>5</v>
      </c>
      <c r="E298" s="367" t="s">
        <v>6</v>
      </c>
      <c r="F298" s="367" t="s">
        <v>889</v>
      </c>
      <c r="G298" s="385">
        <v>45413</v>
      </c>
      <c r="H298" s="367" t="s">
        <v>9</v>
      </c>
      <c r="I298" s="368" t="str">
        <f>VLOOKUP(H298,'[2]Source Codes'!A$2:B$115,2,FALSE)</f>
        <v>On Line Journal Entries</v>
      </c>
      <c r="J298" s="412">
        <v>2172482.12</v>
      </c>
      <c r="K298" s="385">
        <v>45426</v>
      </c>
      <c r="L298" s="387" t="s">
        <v>890</v>
      </c>
      <c r="M298" s="388">
        <v>45426.379166666666</v>
      </c>
      <c r="N298" s="368" t="s">
        <v>372</v>
      </c>
      <c r="O298" s="368" t="s">
        <v>373</v>
      </c>
    </row>
    <row r="299" spans="1:15" ht="12.75" customHeight="1" collapsed="1">
      <c r="J299" s="413">
        <f>SUM(J298)</f>
        <v>2172482.12</v>
      </c>
    </row>
    <row r="301" spans="1:15" ht="12.75" customHeight="1">
      <c r="A301" s="378" t="s">
        <v>891</v>
      </c>
    </row>
    <row r="302" spans="1:15" ht="30" hidden="1" outlineLevel="1">
      <c r="B302" s="384">
        <v>2024</v>
      </c>
      <c r="C302" s="384">
        <v>11</v>
      </c>
      <c r="D302" s="367" t="s">
        <v>5</v>
      </c>
      <c r="E302" s="367" t="s">
        <v>6</v>
      </c>
      <c r="F302" s="367" t="s">
        <v>892</v>
      </c>
      <c r="G302" s="385">
        <v>45432</v>
      </c>
      <c r="H302" s="367" t="s">
        <v>14</v>
      </c>
      <c r="I302" s="368" t="str">
        <f>VLOOKUP(H302,'[2]Source Codes'!A$2:B$115,2,FALSE)</f>
        <v>AP Warrant Issuance</v>
      </c>
      <c r="J302" s="412">
        <v>-1402386.18</v>
      </c>
      <c r="K302" s="385">
        <v>45428</v>
      </c>
      <c r="L302" s="387" t="s">
        <v>896</v>
      </c>
      <c r="M302" s="388">
        <v>45428.793599537035</v>
      </c>
      <c r="N302" s="368" t="s">
        <v>356</v>
      </c>
      <c r="O302" s="368" t="s">
        <v>368</v>
      </c>
    </row>
    <row r="303" spans="1:15" ht="30" hidden="1" outlineLevel="1">
      <c r="B303" s="384">
        <v>2024</v>
      </c>
      <c r="C303" s="384">
        <v>11</v>
      </c>
      <c r="D303" s="367" t="s">
        <v>5</v>
      </c>
      <c r="E303" s="367" t="s">
        <v>6</v>
      </c>
      <c r="F303" s="367" t="s">
        <v>894</v>
      </c>
      <c r="G303" s="385">
        <v>45421</v>
      </c>
      <c r="H303" s="367" t="s">
        <v>12</v>
      </c>
      <c r="I303" s="368" t="str">
        <f>VLOOKUP(H303,'[2]Source Codes'!A$2:B$115,2,FALSE)</f>
        <v>AR Direct Cash Journal</v>
      </c>
      <c r="J303" s="412">
        <v>6998545.8600000003</v>
      </c>
      <c r="K303" s="385">
        <v>45428</v>
      </c>
      <c r="L303" s="387" t="s">
        <v>898</v>
      </c>
      <c r="M303" s="388">
        <v>45428.752395833333</v>
      </c>
      <c r="N303" s="368" t="s">
        <v>356</v>
      </c>
      <c r="O303" s="368" t="s">
        <v>370</v>
      </c>
    </row>
    <row r="304" spans="1:15" ht="30" hidden="1" outlineLevel="1">
      <c r="B304" s="384">
        <v>2024</v>
      </c>
      <c r="C304" s="384">
        <v>11</v>
      </c>
      <c r="D304" s="367" t="s">
        <v>5</v>
      </c>
      <c r="E304" s="367" t="s">
        <v>6</v>
      </c>
      <c r="F304" s="367" t="s">
        <v>895</v>
      </c>
      <c r="G304" s="385">
        <v>45414</v>
      </c>
      <c r="H304" s="367" t="s">
        <v>12</v>
      </c>
      <c r="I304" s="368" t="str">
        <f>VLOOKUP(H304,'[2]Source Codes'!A$2:B$115,2,FALSE)</f>
        <v>AR Direct Cash Journal</v>
      </c>
      <c r="J304" s="412">
        <v>1685626.26</v>
      </c>
      <c r="K304" s="385">
        <v>45428</v>
      </c>
      <c r="L304" s="387" t="s">
        <v>899</v>
      </c>
      <c r="M304" s="388">
        <v>45428.752395833333</v>
      </c>
      <c r="N304" s="368" t="s">
        <v>356</v>
      </c>
      <c r="O304" s="368" t="s">
        <v>370</v>
      </c>
    </row>
    <row r="305" spans="1:15" ht="30" hidden="1" outlineLevel="1">
      <c r="B305" s="384">
        <v>2024</v>
      </c>
      <c r="C305" s="384">
        <v>11</v>
      </c>
      <c r="D305" s="367" t="s">
        <v>5</v>
      </c>
      <c r="E305" s="367" t="s">
        <v>6</v>
      </c>
      <c r="F305" s="367" t="s">
        <v>893</v>
      </c>
      <c r="G305" s="385">
        <v>45427</v>
      </c>
      <c r="H305" s="367" t="s">
        <v>12</v>
      </c>
      <c r="I305" s="368" t="str">
        <f>VLOOKUP(H305,'[2]Source Codes'!A$2:B$115,2,FALSE)</f>
        <v>AR Direct Cash Journal</v>
      </c>
      <c r="J305" s="412">
        <v>-151100000</v>
      </c>
      <c r="K305" s="385">
        <v>45428</v>
      </c>
      <c r="L305" s="387" t="s">
        <v>897</v>
      </c>
      <c r="M305" s="388">
        <v>45428.752395833333</v>
      </c>
      <c r="N305" s="368" t="s">
        <v>377</v>
      </c>
      <c r="O305" s="368" t="s">
        <v>358</v>
      </c>
    </row>
    <row r="306" spans="1:15" ht="12.75" customHeight="1" collapsed="1">
      <c r="J306" s="413">
        <f>SUM(J302:J305)</f>
        <v>-143818214.06</v>
      </c>
    </row>
    <row r="308" spans="1:15" ht="12.75" customHeight="1">
      <c r="A308" s="378" t="s">
        <v>900</v>
      </c>
    </row>
    <row r="309" spans="1:15" ht="60" hidden="1" outlineLevel="1">
      <c r="B309" s="384">
        <v>2024</v>
      </c>
      <c r="C309" s="384">
        <v>11</v>
      </c>
      <c r="D309" s="367" t="s">
        <v>5</v>
      </c>
      <c r="E309" s="367" t="s">
        <v>6</v>
      </c>
      <c r="F309" s="367" t="s">
        <v>901</v>
      </c>
      <c r="G309" s="385">
        <v>45434</v>
      </c>
      <c r="H309" s="367" t="s">
        <v>14</v>
      </c>
      <c r="I309" s="368" t="str">
        <f>VLOOKUP(H309,'[2]Source Codes'!A$2:B$115,2,FALSE)</f>
        <v>AP Warrant Issuance</v>
      </c>
      <c r="J309" s="412">
        <v>-4929039.38</v>
      </c>
      <c r="K309" s="385">
        <v>45432</v>
      </c>
      <c r="L309" s="387" t="s">
        <v>903</v>
      </c>
      <c r="M309" s="388">
        <v>45432.793437499997</v>
      </c>
      <c r="N309" s="368" t="s">
        <v>356</v>
      </c>
      <c r="O309" s="368" t="s">
        <v>364</v>
      </c>
    </row>
    <row r="310" spans="1:15" ht="45" hidden="1" outlineLevel="1">
      <c r="B310" s="384">
        <v>2024</v>
      </c>
      <c r="C310" s="384">
        <v>11</v>
      </c>
      <c r="D310" s="367" t="s">
        <v>5</v>
      </c>
      <c r="E310" s="367" t="s">
        <v>6</v>
      </c>
      <c r="F310" s="367" t="s">
        <v>902</v>
      </c>
      <c r="G310" s="385">
        <v>45426</v>
      </c>
      <c r="H310" s="367" t="s">
        <v>11</v>
      </c>
      <c r="I310" s="368" t="str">
        <f>VLOOKUP(H310,'[2]Source Codes'!A$2:B$115,2,FALSE)</f>
        <v>AR Payments</v>
      </c>
      <c r="J310" s="412">
        <v>1735950.03</v>
      </c>
      <c r="K310" s="385">
        <v>45432</v>
      </c>
      <c r="L310" s="387" t="s">
        <v>904</v>
      </c>
      <c r="M310" s="388">
        <v>45432.751747685186</v>
      </c>
      <c r="N310" s="368" t="s">
        <v>356</v>
      </c>
      <c r="O310" s="368" t="s">
        <v>357</v>
      </c>
    </row>
    <row r="311" spans="1:15" ht="12.75" customHeight="1" collapsed="1">
      <c r="J311" s="413">
        <f>SUM(J309:J310)</f>
        <v>-3193089.3499999996</v>
      </c>
    </row>
    <row r="313" spans="1:15" ht="12.75" customHeight="1">
      <c r="A313" s="378" t="s">
        <v>905</v>
      </c>
    </row>
    <row r="314" spans="1:15" ht="60" hidden="1" outlineLevel="1">
      <c r="B314" s="384">
        <v>2024</v>
      </c>
      <c r="C314" s="384">
        <v>11</v>
      </c>
      <c r="D314" s="367" t="s">
        <v>5</v>
      </c>
      <c r="E314" s="367" t="s">
        <v>6</v>
      </c>
      <c r="F314" s="367" t="s">
        <v>906</v>
      </c>
      <c r="G314" s="385">
        <v>45433</v>
      </c>
      <c r="H314" s="367" t="s">
        <v>14</v>
      </c>
      <c r="I314" s="368" t="str">
        <f>VLOOKUP(H314,'[2]Source Codes'!A$2:B$115,2,FALSE)</f>
        <v>AP Warrant Issuance</v>
      </c>
      <c r="J314" s="412">
        <v>-1497162.09</v>
      </c>
      <c r="K314" s="385">
        <v>45433</v>
      </c>
      <c r="L314" s="387" t="s">
        <v>929</v>
      </c>
      <c r="M314" s="388">
        <v>45433.793819444443</v>
      </c>
      <c r="N314" s="368" t="s">
        <v>360</v>
      </c>
      <c r="O314" s="368" t="s">
        <v>370</v>
      </c>
    </row>
    <row r="315" spans="1:15" ht="30" hidden="1" outlineLevel="1">
      <c r="B315" s="384">
        <v>2024</v>
      </c>
      <c r="C315" s="384">
        <v>11</v>
      </c>
      <c r="D315" s="367" t="s">
        <v>5</v>
      </c>
      <c r="E315" s="367" t="s">
        <v>6</v>
      </c>
      <c r="F315" s="367" t="s">
        <v>907</v>
      </c>
      <c r="G315" s="385">
        <v>45427</v>
      </c>
      <c r="H315" s="367" t="s">
        <v>12</v>
      </c>
      <c r="I315" s="368" t="str">
        <f>VLOOKUP(H315,'[2]Source Codes'!A$2:B$115,2,FALSE)</f>
        <v>AR Direct Cash Journal</v>
      </c>
      <c r="J315" s="412">
        <v>3739681</v>
      </c>
      <c r="K315" s="385">
        <v>45433</v>
      </c>
      <c r="L315" s="387" t="s">
        <v>930</v>
      </c>
      <c r="M315" s="388">
        <v>45433.751875000002</v>
      </c>
      <c r="N315" s="368" t="s">
        <v>356</v>
      </c>
      <c r="O315" s="368" t="s">
        <v>362</v>
      </c>
    </row>
    <row r="316" spans="1:15" ht="45" hidden="1" outlineLevel="1">
      <c r="B316" s="384">
        <v>2024</v>
      </c>
      <c r="C316" s="384">
        <v>11</v>
      </c>
      <c r="D316" s="367" t="s">
        <v>5</v>
      </c>
      <c r="E316" s="367" t="s">
        <v>6</v>
      </c>
      <c r="F316" s="367" t="s">
        <v>908</v>
      </c>
      <c r="G316" s="385">
        <v>45427</v>
      </c>
      <c r="H316" s="367" t="s">
        <v>11</v>
      </c>
      <c r="I316" s="368" t="str">
        <f>VLOOKUP(H316,'[2]Source Codes'!A$2:B$115,2,FALSE)</f>
        <v>AR Payments</v>
      </c>
      <c r="J316" s="412">
        <v>2536626.48</v>
      </c>
      <c r="K316" s="385">
        <v>45433</v>
      </c>
      <c r="L316" s="387" t="s">
        <v>931</v>
      </c>
      <c r="M316" s="388">
        <v>45433.751875000002</v>
      </c>
      <c r="N316" s="368" t="s">
        <v>356</v>
      </c>
      <c r="O316" s="368" t="s">
        <v>357</v>
      </c>
    </row>
    <row r="317" spans="1:15" ht="45" hidden="1" outlineLevel="1">
      <c r="B317" s="384">
        <v>2024</v>
      </c>
      <c r="C317" s="384">
        <v>11</v>
      </c>
      <c r="D317" s="367" t="s">
        <v>5</v>
      </c>
      <c r="E317" s="367" t="s">
        <v>6</v>
      </c>
      <c r="F317" s="367" t="s">
        <v>909</v>
      </c>
      <c r="G317" s="385">
        <v>45427</v>
      </c>
      <c r="H317" s="367" t="s">
        <v>11</v>
      </c>
      <c r="I317" s="368" t="str">
        <f>VLOOKUP(H317,'[2]Source Codes'!A$2:B$115,2,FALSE)</f>
        <v>AR Payments</v>
      </c>
      <c r="J317" s="412">
        <v>1096108.8700000001</v>
      </c>
      <c r="K317" s="385">
        <v>45433</v>
      </c>
      <c r="L317" s="387" t="s">
        <v>932</v>
      </c>
      <c r="M317" s="388">
        <v>45433.751875000002</v>
      </c>
      <c r="N317" s="368" t="s">
        <v>360</v>
      </c>
      <c r="O317" s="368" t="s">
        <v>386</v>
      </c>
    </row>
    <row r="318" spans="1:15" ht="45" hidden="1" outlineLevel="1">
      <c r="B318" s="384">
        <v>2024</v>
      </c>
      <c r="C318" s="384">
        <v>11</v>
      </c>
      <c r="D318" s="367" t="s">
        <v>5</v>
      </c>
      <c r="E318" s="367" t="s">
        <v>6</v>
      </c>
      <c r="F318" s="367" t="s">
        <v>910</v>
      </c>
      <c r="G318" s="385">
        <v>45428</v>
      </c>
      <c r="H318" s="367" t="s">
        <v>9</v>
      </c>
      <c r="I318" s="368" t="str">
        <f>VLOOKUP(H318,'[2]Source Codes'!A$2:B$115,2,FALSE)</f>
        <v>On Line Journal Entries</v>
      </c>
      <c r="J318" s="412">
        <v>26213904</v>
      </c>
      <c r="K318" s="385">
        <v>45433</v>
      </c>
      <c r="L318" s="387" t="s">
        <v>396</v>
      </c>
      <c r="M318" s="388">
        <v>45433.443645833337</v>
      </c>
      <c r="N318" s="368" t="s">
        <v>356</v>
      </c>
      <c r="O318" s="368" t="s">
        <v>364</v>
      </c>
    </row>
    <row r="319" spans="1:15" ht="30" hidden="1" outlineLevel="1">
      <c r="B319" s="384">
        <v>2024</v>
      </c>
      <c r="C319" s="384">
        <v>11</v>
      </c>
      <c r="D319" s="367" t="s">
        <v>5</v>
      </c>
      <c r="E319" s="367" t="s">
        <v>6</v>
      </c>
      <c r="F319" s="367" t="s">
        <v>911</v>
      </c>
      <c r="G319" s="385">
        <v>45428</v>
      </c>
      <c r="H319" s="367" t="s">
        <v>9</v>
      </c>
      <c r="I319" s="368" t="str">
        <f>VLOOKUP(H319,'[2]Source Codes'!A$2:B$115,2,FALSE)</f>
        <v>On Line Journal Entries</v>
      </c>
      <c r="J319" s="412">
        <v>16739718</v>
      </c>
      <c r="K319" s="385">
        <v>45433</v>
      </c>
      <c r="L319" s="387" t="s">
        <v>344</v>
      </c>
      <c r="M319" s="388">
        <v>45433.436261574076</v>
      </c>
      <c r="N319" s="368" t="s">
        <v>356</v>
      </c>
      <c r="O319" s="368" t="s">
        <v>364</v>
      </c>
    </row>
    <row r="320" spans="1:15" ht="30" hidden="1" outlineLevel="1">
      <c r="B320" s="384">
        <v>2024</v>
      </c>
      <c r="C320" s="384">
        <v>11</v>
      </c>
      <c r="D320" s="367" t="s">
        <v>5</v>
      </c>
      <c r="E320" s="367" t="s">
        <v>6</v>
      </c>
      <c r="F320" s="367" t="s">
        <v>912</v>
      </c>
      <c r="G320" s="385">
        <v>45432</v>
      </c>
      <c r="H320" s="367" t="s">
        <v>9</v>
      </c>
      <c r="I320" s="368" t="str">
        <f>VLOOKUP(H320,'[2]Source Codes'!A$2:B$115,2,FALSE)</f>
        <v>On Line Journal Entries</v>
      </c>
      <c r="J320" s="412">
        <v>13833194.82</v>
      </c>
      <c r="K320" s="385">
        <v>45433</v>
      </c>
      <c r="L320" s="387" t="s">
        <v>344</v>
      </c>
      <c r="M320" s="388">
        <v>45433.445405092592</v>
      </c>
      <c r="N320" s="368" t="s">
        <v>356</v>
      </c>
      <c r="O320" s="368" t="s">
        <v>364</v>
      </c>
    </row>
    <row r="321" spans="2:15" ht="30" hidden="1" outlineLevel="1">
      <c r="B321" s="384">
        <v>2024</v>
      </c>
      <c r="C321" s="384">
        <v>11</v>
      </c>
      <c r="D321" s="367" t="s">
        <v>5</v>
      </c>
      <c r="E321" s="367" t="s">
        <v>6</v>
      </c>
      <c r="F321" s="367" t="s">
        <v>913</v>
      </c>
      <c r="G321" s="385">
        <v>45428</v>
      </c>
      <c r="H321" s="367" t="s">
        <v>9</v>
      </c>
      <c r="I321" s="368" t="str">
        <f>VLOOKUP(H321,'[2]Source Codes'!A$2:B$115,2,FALSE)</f>
        <v>On Line Journal Entries</v>
      </c>
      <c r="J321" s="412">
        <v>12126196</v>
      </c>
      <c r="K321" s="385">
        <v>45433</v>
      </c>
      <c r="L321" s="387" t="s">
        <v>344</v>
      </c>
      <c r="M321" s="388">
        <v>45433.437384259261</v>
      </c>
      <c r="N321" s="368" t="s">
        <v>356</v>
      </c>
      <c r="O321" s="368" t="s">
        <v>364</v>
      </c>
    </row>
    <row r="322" spans="2:15" ht="30" hidden="1" outlineLevel="1">
      <c r="B322" s="384">
        <v>2024</v>
      </c>
      <c r="C322" s="384">
        <v>11</v>
      </c>
      <c r="D322" s="367" t="s">
        <v>5</v>
      </c>
      <c r="E322" s="367" t="s">
        <v>6</v>
      </c>
      <c r="F322" s="367" t="s">
        <v>914</v>
      </c>
      <c r="G322" s="385">
        <v>45421</v>
      </c>
      <c r="H322" s="367" t="s">
        <v>9</v>
      </c>
      <c r="I322" s="368" t="str">
        <f>VLOOKUP(H322,'[2]Source Codes'!A$2:B$115,2,FALSE)</f>
        <v>On Line Journal Entries</v>
      </c>
      <c r="J322" s="412">
        <v>8184992</v>
      </c>
      <c r="K322" s="385">
        <v>45433</v>
      </c>
      <c r="L322" s="387" t="s">
        <v>344</v>
      </c>
      <c r="M322" s="388">
        <v>45433.433935185189</v>
      </c>
      <c r="N322" s="368" t="s">
        <v>356</v>
      </c>
      <c r="O322" s="368" t="s">
        <v>364</v>
      </c>
    </row>
    <row r="323" spans="2:15" ht="30" hidden="1" outlineLevel="1">
      <c r="B323" s="384">
        <v>2024</v>
      </c>
      <c r="C323" s="384">
        <v>11</v>
      </c>
      <c r="D323" s="367" t="s">
        <v>5</v>
      </c>
      <c r="E323" s="367" t="s">
        <v>6</v>
      </c>
      <c r="F323" s="367" t="s">
        <v>915</v>
      </c>
      <c r="G323" s="385">
        <v>45428</v>
      </c>
      <c r="H323" s="367" t="s">
        <v>9</v>
      </c>
      <c r="I323" s="368" t="str">
        <f>VLOOKUP(H323,'[2]Source Codes'!A$2:B$115,2,FALSE)</f>
        <v>On Line Journal Entries</v>
      </c>
      <c r="J323" s="412">
        <v>7464400</v>
      </c>
      <c r="K323" s="385">
        <v>45433</v>
      </c>
      <c r="L323" s="387" t="s">
        <v>344</v>
      </c>
      <c r="M323" s="388">
        <v>45433.435266203705</v>
      </c>
      <c r="N323" s="368" t="s">
        <v>356</v>
      </c>
      <c r="O323" s="368" t="s">
        <v>364</v>
      </c>
    </row>
    <row r="324" spans="2:15" ht="45" hidden="1" outlineLevel="1">
      <c r="B324" s="384">
        <v>2024</v>
      </c>
      <c r="C324" s="384">
        <v>11</v>
      </c>
      <c r="D324" s="367" t="s">
        <v>5</v>
      </c>
      <c r="E324" s="367" t="s">
        <v>6</v>
      </c>
      <c r="F324" s="367" t="s">
        <v>916</v>
      </c>
      <c r="G324" s="385">
        <v>45428</v>
      </c>
      <c r="H324" s="367" t="s">
        <v>9</v>
      </c>
      <c r="I324" s="368" t="str">
        <f>VLOOKUP(H324,'[2]Source Codes'!A$2:B$115,2,FALSE)</f>
        <v>On Line Journal Entries</v>
      </c>
      <c r="J324" s="412">
        <v>5801239</v>
      </c>
      <c r="K324" s="385">
        <v>45433</v>
      </c>
      <c r="L324" s="387" t="s">
        <v>396</v>
      </c>
      <c r="M324" s="388">
        <v>45433.439143518517</v>
      </c>
      <c r="N324" s="368" t="s">
        <v>356</v>
      </c>
      <c r="O324" s="368" t="s">
        <v>364</v>
      </c>
    </row>
    <row r="325" spans="2:15" ht="45" hidden="1" outlineLevel="1">
      <c r="B325" s="384">
        <v>2024</v>
      </c>
      <c r="C325" s="384">
        <v>11</v>
      </c>
      <c r="D325" s="367" t="s">
        <v>5</v>
      </c>
      <c r="E325" s="367" t="s">
        <v>6</v>
      </c>
      <c r="F325" s="367" t="s">
        <v>917</v>
      </c>
      <c r="G325" s="385">
        <v>45428</v>
      </c>
      <c r="H325" s="367" t="s">
        <v>9</v>
      </c>
      <c r="I325" s="368" t="str">
        <f>VLOOKUP(H325,'[2]Source Codes'!A$2:B$115,2,FALSE)</f>
        <v>On Line Journal Entries</v>
      </c>
      <c r="J325" s="412">
        <v>5743124</v>
      </c>
      <c r="K325" s="385">
        <v>45433</v>
      </c>
      <c r="L325" s="387" t="s">
        <v>396</v>
      </c>
      <c r="M325" s="388">
        <v>45433.438368055555</v>
      </c>
      <c r="N325" s="368" t="s">
        <v>356</v>
      </c>
      <c r="O325" s="368" t="s">
        <v>364</v>
      </c>
    </row>
    <row r="326" spans="2:15" ht="51.75" hidden="1" customHeight="1" outlineLevel="1">
      <c r="B326" s="384">
        <v>2024</v>
      </c>
      <c r="C326" s="384">
        <v>11</v>
      </c>
      <c r="D326" s="367" t="s">
        <v>5</v>
      </c>
      <c r="E326" s="367" t="s">
        <v>6</v>
      </c>
      <c r="F326" s="367" t="s">
        <v>918</v>
      </c>
      <c r="G326" s="385">
        <v>45433</v>
      </c>
      <c r="H326" s="367" t="s">
        <v>9</v>
      </c>
      <c r="I326" s="368" t="str">
        <f>VLOOKUP(H326,'[2]Source Codes'!A$2:B$115,2,FALSE)</f>
        <v>On Line Journal Entries</v>
      </c>
      <c r="J326" s="412">
        <v>4683847.4400000004</v>
      </c>
      <c r="K326" s="385">
        <v>45433</v>
      </c>
      <c r="L326" s="387" t="s">
        <v>933</v>
      </c>
      <c r="M326" s="388">
        <v>45433.869814814818</v>
      </c>
      <c r="N326" s="368" t="s">
        <v>360</v>
      </c>
      <c r="O326" s="368" t="s">
        <v>380</v>
      </c>
    </row>
    <row r="327" spans="2:15" ht="45" hidden="1" outlineLevel="1">
      <c r="B327" s="384">
        <v>2024</v>
      </c>
      <c r="C327" s="384">
        <v>11</v>
      </c>
      <c r="D327" s="367" t="s">
        <v>5</v>
      </c>
      <c r="E327" s="367" t="s">
        <v>6</v>
      </c>
      <c r="F327" s="367" t="s">
        <v>919</v>
      </c>
      <c r="G327" s="385">
        <v>45432</v>
      </c>
      <c r="H327" s="367" t="s">
        <v>9</v>
      </c>
      <c r="I327" s="368" t="str">
        <f>VLOOKUP(H327,'[2]Source Codes'!A$2:B$115,2,FALSE)</f>
        <v>On Line Journal Entries</v>
      </c>
      <c r="J327" s="412">
        <v>1941709.91</v>
      </c>
      <c r="K327" s="385">
        <v>45433</v>
      </c>
      <c r="L327" s="387" t="s">
        <v>934</v>
      </c>
      <c r="M327" s="388">
        <v>45433.869814814818</v>
      </c>
      <c r="N327" s="368" t="s">
        <v>360</v>
      </c>
      <c r="O327" s="368" t="s">
        <v>380</v>
      </c>
    </row>
    <row r="328" spans="2:15" ht="30" hidden="1" outlineLevel="1">
      <c r="B328" s="384">
        <v>2024</v>
      </c>
      <c r="C328" s="384">
        <v>11</v>
      </c>
      <c r="D328" s="367" t="s">
        <v>5</v>
      </c>
      <c r="E328" s="367" t="s">
        <v>6</v>
      </c>
      <c r="F328" s="367" t="s">
        <v>920</v>
      </c>
      <c r="G328" s="385">
        <v>45421</v>
      </c>
      <c r="H328" s="367" t="s">
        <v>9</v>
      </c>
      <c r="I328" s="368" t="str">
        <f>VLOOKUP(H328,'[2]Source Codes'!A$2:B$115,2,FALSE)</f>
        <v>On Line Journal Entries</v>
      </c>
      <c r="J328" s="412">
        <v>1742563</v>
      </c>
      <c r="K328" s="385">
        <v>45433</v>
      </c>
      <c r="L328" s="387" t="s">
        <v>344</v>
      </c>
      <c r="M328" s="388">
        <v>45433.432673611111</v>
      </c>
      <c r="N328" s="368" t="s">
        <v>356</v>
      </c>
      <c r="O328" s="368" t="s">
        <v>364</v>
      </c>
    </row>
    <row r="329" spans="2:15" ht="45" hidden="1" outlineLevel="1">
      <c r="B329" s="384">
        <v>2024</v>
      </c>
      <c r="C329" s="384">
        <v>11</v>
      </c>
      <c r="D329" s="367" t="s">
        <v>5</v>
      </c>
      <c r="E329" s="367" t="s">
        <v>6</v>
      </c>
      <c r="F329" s="367" t="s">
        <v>921</v>
      </c>
      <c r="G329" s="385">
        <v>45421</v>
      </c>
      <c r="H329" s="367" t="s">
        <v>9</v>
      </c>
      <c r="I329" s="368" t="str">
        <f>VLOOKUP(H329,'[2]Source Codes'!A$2:B$115,2,FALSE)</f>
        <v>On Line Journal Entries</v>
      </c>
      <c r="J329" s="412">
        <v>1013821.94</v>
      </c>
      <c r="K329" s="385">
        <v>45433</v>
      </c>
      <c r="L329" s="387" t="s">
        <v>514</v>
      </c>
      <c r="M329" s="388">
        <v>45433.434270833335</v>
      </c>
      <c r="N329" s="368" t="s">
        <v>361</v>
      </c>
      <c r="O329" s="368" t="s">
        <v>364</v>
      </c>
    </row>
    <row r="330" spans="2:15" ht="15" hidden="1" outlineLevel="1">
      <c r="B330" s="384">
        <v>2024</v>
      </c>
      <c r="C330" s="384">
        <v>11</v>
      </c>
      <c r="D330" s="367" t="s">
        <v>5</v>
      </c>
      <c r="E330" s="367" t="s">
        <v>6</v>
      </c>
      <c r="F330" s="367" t="s">
        <v>922</v>
      </c>
      <c r="G330" s="385">
        <v>45426</v>
      </c>
      <c r="H330" s="367" t="s">
        <v>8</v>
      </c>
      <c r="I330" s="368" t="str">
        <f>VLOOKUP(H330,'[2]Source Codes'!A$2:B$115,2,FALSE)</f>
        <v>Prch,Cntrl Mail,Flt,Prntg,Sply</v>
      </c>
      <c r="J330" s="412">
        <v>-2208413.5299999998</v>
      </c>
      <c r="K330" s="385">
        <v>45433</v>
      </c>
      <c r="L330" s="387" t="s">
        <v>927</v>
      </c>
      <c r="M330" s="388">
        <v>45433.661770833336</v>
      </c>
      <c r="N330" s="368" t="s">
        <v>356</v>
      </c>
      <c r="O330" s="368" t="s">
        <v>382</v>
      </c>
    </row>
    <row r="331" spans="2:15" ht="15" hidden="1" outlineLevel="1">
      <c r="B331" s="384">
        <v>2024</v>
      </c>
      <c r="C331" s="384">
        <v>11</v>
      </c>
      <c r="D331" s="367" t="s">
        <v>5</v>
      </c>
      <c r="E331" s="367" t="s">
        <v>6</v>
      </c>
      <c r="F331" s="367" t="s">
        <v>923</v>
      </c>
      <c r="G331" s="385">
        <v>45427</v>
      </c>
      <c r="H331" s="367" t="s">
        <v>7</v>
      </c>
      <c r="I331" s="368" t="str">
        <f>VLOOKUP(H331,'[2]Source Codes'!A$2:B$115,2,FALSE)</f>
        <v>HRMS Interface Journals</v>
      </c>
      <c r="J331" s="412">
        <v>-2428205.6</v>
      </c>
      <c r="K331" s="385">
        <v>45433</v>
      </c>
      <c r="L331" s="387" t="s">
        <v>350</v>
      </c>
      <c r="M331" s="388">
        <v>45433.477349537039</v>
      </c>
      <c r="N331" s="368" t="s">
        <v>378</v>
      </c>
      <c r="O331" s="368" t="s">
        <v>379</v>
      </c>
    </row>
    <row r="332" spans="2:15" ht="60" hidden="1" outlineLevel="1">
      <c r="B332" s="384">
        <v>2024</v>
      </c>
      <c r="C332" s="384">
        <v>11</v>
      </c>
      <c r="D332" s="367" t="s">
        <v>5</v>
      </c>
      <c r="E332" s="367" t="s">
        <v>6</v>
      </c>
      <c r="F332" s="367" t="s">
        <v>924</v>
      </c>
      <c r="G332" s="385">
        <v>45419</v>
      </c>
      <c r="H332" s="367" t="s">
        <v>9</v>
      </c>
      <c r="I332" s="368" t="str">
        <f>VLOOKUP(H332,'[2]Source Codes'!A$2:B$115,2,FALSE)</f>
        <v>On Line Journal Entries</v>
      </c>
      <c r="J332" s="412">
        <v>-4000000</v>
      </c>
      <c r="K332" s="385">
        <v>45433</v>
      </c>
      <c r="L332" s="387" t="s">
        <v>928</v>
      </c>
      <c r="M332" s="388">
        <v>45433.369259259256</v>
      </c>
      <c r="N332" s="368" t="s">
        <v>387</v>
      </c>
      <c r="O332" s="368" t="s">
        <v>358</v>
      </c>
    </row>
    <row r="333" spans="2:15" ht="15" hidden="1" outlineLevel="1">
      <c r="B333" s="384">
        <v>2024</v>
      </c>
      <c r="C333" s="384">
        <v>11</v>
      </c>
      <c r="D333" s="367" t="s">
        <v>5</v>
      </c>
      <c r="E333" s="367" t="s">
        <v>6</v>
      </c>
      <c r="F333" s="367" t="s">
        <v>925</v>
      </c>
      <c r="G333" s="385">
        <v>45427</v>
      </c>
      <c r="H333" s="367" t="s">
        <v>7</v>
      </c>
      <c r="I333" s="368" t="str">
        <f>VLOOKUP(H333,'[2]Source Codes'!A$2:B$115,2,FALSE)</f>
        <v>HRMS Interface Journals</v>
      </c>
      <c r="J333" s="412">
        <v>-11110374.390000001</v>
      </c>
      <c r="K333" s="385">
        <v>45433</v>
      </c>
      <c r="L333" s="387" t="s">
        <v>349</v>
      </c>
      <c r="M333" s="388">
        <v>45433.474293981482</v>
      </c>
      <c r="N333" s="368" t="s">
        <v>378</v>
      </c>
      <c r="O333" s="368" t="s">
        <v>379</v>
      </c>
    </row>
    <row r="334" spans="2:15" ht="15" hidden="1" outlineLevel="1">
      <c r="B334" s="384">
        <v>2024</v>
      </c>
      <c r="C334" s="384">
        <v>11</v>
      </c>
      <c r="D334" s="367" t="s">
        <v>5</v>
      </c>
      <c r="E334" s="367" t="s">
        <v>6</v>
      </c>
      <c r="F334" s="367" t="s">
        <v>926</v>
      </c>
      <c r="G334" s="385">
        <v>45427</v>
      </c>
      <c r="H334" s="367" t="s">
        <v>7</v>
      </c>
      <c r="I334" s="368" t="str">
        <f>VLOOKUP(H334,'[2]Source Codes'!A$2:B$115,2,FALSE)</f>
        <v>HRMS Interface Journals</v>
      </c>
      <c r="J334" s="412">
        <v>-67890918.040000007</v>
      </c>
      <c r="K334" s="385">
        <v>45433</v>
      </c>
      <c r="L334" s="387" t="s">
        <v>348</v>
      </c>
      <c r="M334" s="388">
        <v>45433.479189814818</v>
      </c>
      <c r="N334" s="368" t="s">
        <v>378</v>
      </c>
      <c r="O334" s="368" t="s">
        <v>379</v>
      </c>
    </row>
    <row r="335" spans="2:15" ht="12.75" customHeight="1" collapsed="1">
      <c r="J335" s="413">
        <f>SUM(J314:J334)</f>
        <v>23726052.810000002</v>
      </c>
    </row>
    <row r="337" spans="1:15" ht="12.75" customHeight="1">
      <c r="A337" s="378" t="s">
        <v>935</v>
      </c>
    </row>
    <row r="338" spans="1:15" ht="30" hidden="1" outlineLevel="1">
      <c r="B338" s="384">
        <v>2024</v>
      </c>
      <c r="C338" s="384">
        <v>11</v>
      </c>
      <c r="D338" s="367" t="s">
        <v>5</v>
      </c>
      <c r="E338" s="367" t="s">
        <v>6</v>
      </c>
      <c r="F338" s="367" t="s">
        <v>936</v>
      </c>
      <c r="G338" s="385">
        <v>45434</v>
      </c>
      <c r="H338" s="367" t="s">
        <v>14</v>
      </c>
      <c r="I338" s="368" t="str">
        <f>VLOOKUP(H338,'[2]Source Codes'!A$2:B$115,2,FALSE)</f>
        <v>AP Warrant Issuance</v>
      </c>
      <c r="J338" s="412">
        <v>-1104951.18</v>
      </c>
      <c r="K338" s="385">
        <v>45434</v>
      </c>
      <c r="L338" s="387" t="s">
        <v>948</v>
      </c>
      <c r="M338" s="388">
        <v>45434.794108796297</v>
      </c>
      <c r="N338" s="368" t="s">
        <v>356</v>
      </c>
      <c r="O338" s="368" t="s">
        <v>368</v>
      </c>
    </row>
    <row r="339" spans="1:15" ht="45" hidden="1" outlineLevel="1">
      <c r="B339" s="384">
        <v>2024</v>
      </c>
      <c r="C339" s="384">
        <v>11</v>
      </c>
      <c r="D339" s="367" t="s">
        <v>5</v>
      </c>
      <c r="E339" s="367" t="s">
        <v>6</v>
      </c>
      <c r="F339" s="367" t="s">
        <v>937</v>
      </c>
      <c r="G339" s="385">
        <v>45434</v>
      </c>
      <c r="H339" s="367" t="s">
        <v>12</v>
      </c>
      <c r="I339" s="368" t="str">
        <f>VLOOKUP(H339,'[2]Source Codes'!A$2:B$115,2,FALSE)</f>
        <v>AR Direct Cash Journal</v>
      </c>
      <c r="J339" s="412">
        <v>3394643.73</v>
      </c>
      <c r="K339" s="385">
        <v>45434</v>
      </c>
      <c r="L339" s="387" t="s">
        <v>949</v>
      </c>
      <c r="M339" s="388">
        <v>45434.751550925925</v>
      </c>
      <c r="N339" s="368" t="s">
        <v>387</v>
      </c>
      <c r="O339" s="368" t="s">
        <v>358</v>
      </c>
    </row>
    <row r="340" spans="1:15" ht="15" hidden="1" outlineLevel="1">
      <c r="B340" s="384">
        <v>2024</v>
      </c>
      <c r="C340" s="384">
        <v>11</v>
      </c>
      <c r="D340" s="367" t="s">
        <v>5</v>
      </c>
      <c r="E340" s="367" t="s">
        <v>6</v>
      </c>
      <c r="F340" s="367" t="s">
        <v>938</v>
      </c>
      <c r="G340" s="385">
        <v>45432</v>
      </c>
      <c r="H340" s="367" t="s">
        <v>16</v>
      </c>
      <c r="I340" s="368" t="str">
        <f>VLOOKUP(H340,'[2]Source Codes'!A$2:B$115,2,FALSE)</f>
        <v>Property Tax Interface</v>
      </c>
      <c r="J340" s="412">
        <v>104014262.79000001</v>
      </c>
      <c r="K340" s="385">
        <v>45434</v>
      </c>
      <c r="L340" s="387" t="s">
        <v>945</v>
      </c>
      <c r="M340" s="388">
        <v>45434.663206018522</v>
      </c>
      <c r="N340" s="368" t="s">
        <v>361</v>
      </c>
      <c r="O340" s="368" t="s">
        <v>384</v>
      </c>
    </row>
    <row r="341" spans="1:15" ht="15" hidden="1" outlineLevel="1">
      <c r="B341" s="384">
        <v>2024</v>
      </c>
      <c r="C341" s="384">
        <v>11</v>
      </c>
      <c r="D341" s="367" t="s">
        <v>5</v>
      </c>
      <c r="E341" s="367" t="s">
        <v>6</v>
      </c>
      <c r="F341" s="367" t="s">
        <v>939</v>
      </c>
      <c r="G341" s="385">
        <v>45425</v>
      </c>
      <c r="H341" s="367" t="s">
        <v>9</v>
      </c>
      <c r="I341" s="368" t="str">
        <f>VLOOKUP(H341,'[2]Source Codes'!A$2:B$115,2,FALSE)</f>
        <v>On Line Journal Entries</v>
      </c>
      <c r="J341" s="412">
        <v>-1542083</v>
      </c>
      <c r="K341" s="385">
        <v>45434</v>
      </c>
      <c r="L341" s="387" t="s">
        <v>946</v>
      </c>
      <c r="M341" s="388">
        <v>45434.869212962964</v>
      </c>
      <c r="N341" s="368" t="s">
        <v>356</v>
      </c>
      <c r="O341" s="368" t="s">
        <v>368</v>
      </c>
    </row>
    <row r="342" spans="1:15" ht="15" hidden="1" outlineLevel="1">
      <c r="B342" s="384">
        <v>2024</v>
      </c>
      <c r="C342" s="384">
        <v>11</v>
      </c>
      <c r="D342" s="367" t="s">
        <v>5</v>
      </c>
      <c r="E342" s="367" t="s">
        <v>6</v>
      </c>
      <c r="F342" s="367" t="s">
        <v>940</v>
      </c>
      <c r="G342" s="385">
        <v>45413</v>
      </c>
      <c r="H342" s="367" t="s">
        <v>13</v>
      </c>
      <c r="I342" s="368" t="str">
        <f>VLOOKUP(H342,'[2]Source Codes'!A$2:B$115,2,FALSE)</f>
        <v>C-IV Voucher/Payments/EBT</v>
      </c>
      <c r="J342" s="412">
        <v>-9411959.8499999996</v>
      </c>
      <c r="K342" s="385">
        <v>45434</v>
      </c>
      <c r="L342" s="387" t="s">
        <v>947</v>
      </c>
      <c r="M342" s="388">
        <v>45434.86922453704</v>
      </c>
      <c r="N342" s="368" t="s">
        <v>356</v>
      </c>
      <c r="O342" s="368" t="s">
        <v>364</v>
      </c>
    </row>
    <row r="343" spans="1:15" ht="15" hidden="1" outlineLevel="1">
      <c r="B343" s="384">
        <v>2024</v>
      </c>
      <c r="C343" s="384">
        <v>11</v>
      </c>
      <c r="D343" s="367" t="s">
        <v>5</v>
      </c>
      <c r="E343" s="367" t="s">
        <v>6</v>
      </c>
      <c r="F343" s="367" t="s">
        <v>941</v>
      </c>
      <c r="G343" s="385">
        <v>45413</v>
      </c>
      <c r="H343" s="367" t="s">
        <v>13</v>
      </c>
      <c r="I343" s="368" t="str">
        <f>VLOOKUP(H343,'[2]Source Codes'!A$2:B$115,2,FALSE)</f>
        <v>C-IV Voucher/Payments/EBT</v>
      </c>
      <c r="J343" s="412">
        <v>-11152928.810000001</v>
      </c>
      <c r="K343" s="385">
        <v>45434</v>
      </c>
      <c r="L343" s="387" t="s">
        <v>944</v>
      </c>
      <c r="M343" s="388">
        <v>45434.86922453704</v>
      </c>
      <c r="N343" s="368" t="s">
        <v>356</v>
      </c>
      <c r="O343" s="368" t="s">
        <v>364</v>
      </c>
    </row>
    <row r="344" spans="1:15" ht="45" hidden="1" outlineLevel="1">
      <c r="B344" s="384">
        <v>2024</v>
      </c>
      <c r="C344" s="384">
        <v>11</v>
      </c>
      <c r="D344" s="367" t="s">
        <v>5</v>
      </c>
      <c r="E344" s="367" t="s">
        <v>6</v>
      </c>
      <c r="F344" s="367" t="s">
        <v>942</v>
      </c>
      <c r="G344" s="385">
        <v>45432</v>
      </c>
      <c r="H344" s="367" t="s">
        <v>9</v>
      </c>
      <c r="I344" s="368" t="str">
        <f>VLOOKUP(H344,'[2]Source Codes'!A$2:B$115,2,FALSE)</f>
        <v>On Line Journal Entries</v>
      </c>
      <c r="J344" s="412">
        <v>-11339531.18</v>
      </c>
      <c r="K344" s="385">
        <v>45434</v>
      </c>
      <c r="L344" s="387" t="s">
        <v>943</v>
      </c>
      <c r="M344" s="388">
        <v>45434.869212962964</v>
      </c>
      <c r="N344" s="368" t="s">
        <v>387</v>
      </c>
      <c r="O344" s="368" t="s">
        <v>358</v>
      </c>
    </row>
    <row r="345" spans="1:15" ht="12.75" customHeight="1" collapsed="1">
      <c r="I345" s="368"/>
      <c r="J345" s="413">
        <f>SUM(J338:J344)</f>
        <v>72857452.5</v>
      </c>
    </row>
    <row r="346" spans="1:15" ht="12.75" customHeight="1">
      <c r="I346" s="368"/>
    </row>
    <row r="347" spans="1:15" ht="12.75" customHeight="1">
      <c r="A347" s="378" t="s">
        <v>950</v>
      </c>
      <c r="I347" s="368"/>
    </row>
    <row r="348" spans="1:15" ht="60" hidden="1" outlineLevel="1">
      <c r="B348" s="384">
        <v>2024</v>
      </c>
      <c r="C348" s="384">
        <v>11</v>
      </c>
      <c r="D348" s="367" t="s">
        <v>5</v>
      </c>
      <c r="E348" s="367" t="s">
        <v>6</v>
      </c>
      <c r="F348" s="367" t="s">
        <v>951</v>
      </c>
      <c r="G348" s="385">
        <v>45435</v>
      </c>
      <c r="H348" s="367" t="s">
        <v>14</v>
      </c>
      <c r="I348" s="368" t="str">
        <f>VLOOKUP(H348,'[2]Source Codes'!A$2:B$115,2,FALSE)</f>
        <v>AP Warrant Issuance</v>
      </c>
      <c r="J348" s="412">
        <v>-1289453.9099999999</v>
      </c>
      <c r="K348" s="385">
        <v>45435</v>
      </c>
      <c r="L348" s="387" t="s">
        <v>956</v>
      </c>
      <c r="M348" s="388">
        <v>45435.793668981481</v>
      </c>
      <c r="N348" s="368" t="s">
        <v>356</v>
      </c>
      <c r="O348" s="368" t="s">
        <v>368</v>
      </c>
    </row>
    <row r="349" spans="1:15" ht="30" hidden="1" outlineLevel="1">
      <c r="B349" s="384">
        <v>2024</v>
      </c>
      <c r="C349" s="384">
        <v>11</v>
      </c>
      <c r="D349" s="367" t="s">
        <v>5</v>
      </c>
      <c r="E349" s="367" t="s">
        <v>6</v>
      </c>
      <c r="F349" s="367" t="s">
        <v>952</v>
      </c>
      <c r="G349" s="385">
        <v>45440</v>
      </c>
      <c r="H349" s="367" t="s">
        <v>14</v>
      </c>
      <c r="I349" s="368" t="str">
        <f>VLOOKUP(H349,'[2]Source Codes'!A$2:B$115,2,FALSE)</f>
        <v>AP Warrant Issuance</v>
      </c>
      <c r="J349" s="412">
        <v>-1542848.08</v>
      </c>
      <c r="K349" s="385">
        <v>45435</v>
      </c>
      <c r="L349" s="387" t="s">
        <v>957</v>
      </c>
      <c r="M349" s="388">
        <v>45435.793668981481</v>
      </c>
      <c r="N349" s="368" t="s">
        <v>356</v>
      </c>
      <c r="O349" s="368" t="s">
        <v>368</v>
      </c>
    </row>
    <row r="350" spans="1:15" ht="30" hidden="1" outlineLevel="1">
      <c r="B350" s="384">
        <v>2024</v>
      </c>
      <c r="C350" s="384">
        <v>11</v>
      </c>
      <c r="D350" s="367" t="s">
        <v>5</v>
      </c>
      <c r="E350" s="367" t="s">
        <v>6</v>
      </c>
      <c r="F350" s="367" t="s">
        <v>953</v>
      </c>
      <c r="G350" s="385">
        <v>45415</v>
      </c>
      <c r="H350" s="367" t="s">
        <v>11</v>
      </c>
      <c r="I350" s="368" t="str">
        <f>VLOOKUP(H350,'[2]Source Codes'!A$2:B$115,2,FALSE)</f>
        <v>AR Payments</v>
      </c>
      <c r="J350" s="412">
        <v>1680762.8799999999</v>
      </c>
      <c r="K350" s="385">
        <v>45435</v>
      </c>
      <c r="L350" s="387" t="s">
        <v>958</v>
      </c>
      <c r="M350" s="388">
        <v>45435.751736111109</v>
      </c>
      <c r="N350" s="368" t="s">
        <v>356</v>
      </c>
      <c r="O350" s="368" t="s">
        <v>357</v>
      </c>
    </row>
    <row r="351" spans="1:15" ht="30" hidden="1" outlineLevel="1">
      <c r="B351" s="384">
        <v>2024</v>
      </c>
      <c r="C351" s="384">
        <v>11</v>
      </c>
      <c r="D351" s="367" t="s">
        <v>5</v>
      </c>
      <c r="E351" s="367" t="s">
        <v>6</v>
      </c>
      <c r="F351" s="389" t="s">
        <v>954</v>
      </c>
      <c r="G351" s="385">
        <v>45433</v>
      </c>
      <c r="H351" s="367" t="s">
        <v>9</v>
      </c>
      <c r="I351" s="368" t="str">
        <f>VLOOKUP(H351,'[2]Source Codes'!A$2:B$115,2,FALSE)</f>
        <v>On Line Journal Entries</v>
      </c>
      <c r="J351" s="412">
        <v>1239665.02</v>
      </c>
      <c r="K351" s="385">
        <v>45435</v>
      </c>
      <c r="L351" s="387" t="s">
        <v>959</v>
      </c>
      <c r="M351" s="388">
        <v>45435.869606481479</v>
      </c>
      <c r="N351" s="368" t="s">
        <v>955</v>
      </c>
      <c r="O351" s="368" t="s">
        <v>510</v>
      </c>
    </row>
    <row r="352" spans="1:15" ht="12.75" customHeight="1" collapsed="1">
      <c r="J352" s="413">
        <f>SUM(J348:J351)</f>
        <v>88125.909999999683</v>
      </c>
    </row>
    <row r="354" spans="1:15" ht="12.75" customHeight="1">
      <c r="A354" s="378" t="s">
        <v>960</v>
      </c>
    </row>
    <row r="355" spans="1:15" ht="45" hidden="1" outlineLevel="1">
      <c r="B355" s="384">
        <v>2024</v>
      </c>
      <c r="C355" s="384">
        <v>11</v>
      </c>
      <c r="D355" s="367" t="s">
        <v>5</v>
      </c>
      <c r="E355" s="367" t="s">
        <v>6</v>
      </c>
      <c r="F355" s="367" t="s">
        <v>961</v>
      </c>
      <c r="G355" s="385">
        <v>45436</v>
      </c>
      <c r="H355" s="367" t="s">
        <v>12</v>
      </c>
      <c r="I355" s="368" t="str">
        <f>VLOOKUP(H355,'[2]Source Codes'!A$2:B$115,2,FALSE)</f>
        <v>AR Direct Cash Journal</v>
      </c>
      <c r="J355" s="412">
        <v>7071647.2999999998</v>
      </c>
      <c r="K355" s="385">
        <v>45436</v>
      </c>
      <c r="L355" s="387" t="s">
        <v>966</v>
      </c>
      <c r="M355" s="388">
        <v>45436.751574074071</v>
      </c>
      <c r="N355" s="368" t="s">
        <v>356</v>
      </c>
      <c r="O355" s="368" t="s">
        <v>371</v>
      </c>
    </row>
    <row r="356" spans="1:15" ht="45" hidden="1" outlineLevel="1">
      <c r="B356" s="384">
        <v>2024</v>
      </c>
      <c r="C356" s="384">
        <v>11</v>
      </c>
      <c r="D356" s="367" t="s">
        <v>5</v>
      </c>
      <c r="E356" s="367" t="s">
        <v>6</v>
      </c>
      <c r="F356" s="367" t="s">
        <v>962</v>
      </c>
      <c r="G356" s="385">
        <v>45434</v>
      </c>
      <c r="H356" s="367" t="s">
        <v>11</v>
      </c>
      <c r="I356" s="368" t="str">
        <f>VLOOKUP(H356,'[2]Source Codes'!A$2:B$115,2,FALSE)</f>
        <v>AR Payments</v>
      </c>
      <c r="J356" s="412">
        <v>4175828.06</v>
      </c>
      <c r="K356" s="385">
        <v>45436</v>
      </c>
      <c r="L356" s="387" t="s">
        <v>534</v>
      </c>
      <c r="M356" s="388">
        <v>45436.751574074071</v>
      </c>
      <c r="N356" s="368" t="s">
        <v>356</v>
      </c>
      <c r="O356" s="368" t="s">
        <v>357</v>
      </c>
    </row>
    <row r="357" spans="1:15" ht="30" hidden="1" outlineLevel="1">
      <c r="B357" s="384">
        <v>2024</v>
      </c>
      <c r="C357" s="384">
        <v>11</v>
      </c>
      <c r="D357" s="367" t="s">
        <v>5</v>
      </c>
      <c r="E357" s="367" t="s">
        <v>6</v>
      </c>
      <c r="F357" s="367" t="s">
        <v>963</v>
      </c>
      <c r="G357" s="385">
        <v>45434</v>
      </c>
      <c r="H357" s="367" t="s">
        <v>9</v>
      </c>
      <c r="I357" s="368" t="str">
        <f>VLOOKUP(H357,'[2]Source Codes'!A$2:B$115,2,FALSE)</f>
        <v>On Line Journal Entries</v>
      </c>
      <c r="J357" s="412">
        <v>5134846</v>
      </c>
      <c r="K357" s="385">
        <v>45436</v>
      </c>
      <c r="L357" s="387" t="s">
        <v>334</v>
      </c>
      <c r="M357" s="388">
        <v>45436.869606481479</v>
      </c>
      <c r="N357" s="368" t="s">
        <v>356</v>
      </c>
      <c r="O357" s="368" t="s">
        <v>364</v>
      </c>
    </row>
    <row r="358" spans="1:15" ht="45" hidden="1" outlineLevel="1">
      <c r="B358" s="384">
        <v>2024</v>
      </c>
      <c r="C358" s="384">
        <v>11</v>
      </c>
      <c r="D358" s="367" t="s">
        <v>5</v>
      </c>
      <c r="E358" s="367" t="s">
        <v>6</v>
      </c>
      <c r="F358" s="367" t="s">
        <v>964</v>
      </c>
      <c r="G358" s="385">
        <v>45428</v>
      </c>
      <c r="H358" s="367" t="s">
        <v>9</v>
      </c>
      <c r="I358" s="368" t="str">
        <f>VLOOKUP(H358,'[2]Source Codes'!A$2:B$115,2,FALSE)</f>
        <v>On Line Journal Entries</v>
      </c>
      <c r="J358" s="412">
        <v>-2513210</v>
      </c>
      <c r="K358" s="385">
        <v>45436</v>
      </c>
      <c r="L358" s="387" t="s">
        <v>965</v>
      </c>
      <c r="M358" s="388">
        <v>45436.869606481479</v>
      </c>
      <c r="N358" s="368" t="s">
        <v>356</v>
      </c>
      <c r="O358" s="368" t="s">
        <v>364</v>
      </c>
    </row>
    <row r="359" spans="1:15" ht="12.75" customHeight="1" collapsed="1">
      <c r="J359" s="413">
        <f>SUM(J355:J358)</f>
        <v>13869111.359999999</v>
      </c>
    </row>
    <row r="361" spans="1:15" ht="12.75" customHeight="1">
      <c r="A361" s="378" t="s">
        <v>967</v>
      </c>
    </row>
    <row r="362" spans="1:15" ht="30" hidden="1" outlineLevel="1">
      <c r="B362" s="384">
        <v>2024</v>
      </c>
      <c r="C362" s="384">
        <v>11</v>
      </c>
      <c r="D362" s="367" t="s">
        <v>5</v>
      </c>
      <c r="E362" s="367" t="s">
        <v>6</v>
      </c>
      <c r="F362" s="367" t="s">
        <v>968</v>
      </c>
      <c r="G362" s="385">
        <v>45442</v>
      </c>
      <c r="H362" s="367" t="s">
        <v>14</v>
      </c>
      <c r="I362" s="368" t="str">
        <f>VLOOKUP(H362,'[2]Source Codes'!A$2:B$115,2,FALSE)</f>
        <v>AP Warrant Issuance</v>
      </c>
      <c r="J362" s="412">
        <v>-3164061.84</v>
      </c>
      <c r="K362" s="385">
        <v>45440</v>
      </c>
      <c r="L362" s="387" t="s">
        <v>977</v>
      </c>
      <c r="M362" s="388">
        <v>45440.793171296296</v>
      </c>
      <c r="N362" s="368" t="s">
        <v>356</v>
      </c>
      <c r="O362" s="368" t="s">
        <v>368</v>
      </c>
    </row>
    <row r="363" spans="1:15" ht="30" hidden="1" outlineLevel="1">
      <c r="B363" s="384">
        <v>2024</v>
      </c>
      <c r="C363" s="384">
        <v>11</v>
      </c>
      <c r="D363" s="367" t="s">
        <v>5</v>
      </c>
      <c r="E363" s="367" t="s">
        <v>6</v>
      </c>
      <c r="F363" s="367" t="s">
        <v>969</v>
      </c>
      <c r="G363" s="385">
        <v>45440</v>
      </c>
      <c r="H363" s="367" t="s">
        <v>14</v>
      </c>
      <c r="I363" s="368" t="str">
        <f>VLOOKUP(H363,'[2]Source Codes'!A$2:B$115,2,FALSE)</f>
        <v>AP Warrant Issuance</v>
      </c>
      <c r="J363" s="412">
        <v>-2671724.66</v>
      </c>
      <c r="K363" s="385">
        <v>45440</v>
      </c>
      <c r="L363" s="387" t="s">
        <v>978</v>
      </c>
      <c r="M363" s="388">
        <v>45440.793171296296</v>
      </c>
      <c r="N363" s="368" t="s">
        <v>356</v>
      </c>
      <c r="O363" s="368" t="s">
        <v>368</v>
      </c>
    </row>
    <row r="364" spans="1:15" ht="90" hidden="1" outlineLevel="1">
      <c r="B364" s="384">
        <v>2024</v>
      </c>
      <c r="C364" s="384">
        <v>11</v>
      </c>
      <c r="D364" s="367" t="s">
        <v>5</v>
      </c>
      <c r="E364" s="367" t="s">
        <v>6</v>
      </c>
      <c r="F364" s="367" t="s">
        <v>970</v>
      </c>
      <c r="G364" s="385">
        <v>45421</v>
      </c>
      <c r="H364" s="367" t="s">
        <v>12</v>
      </c>
      <c r="I364" s="368" t="str">
        <f>VLOOKUP(H364,'[2]Source Codes'!A$2:B$115,2,FALSE)</f>
        <v>AR Direct Cash Journal</v>
      </c>
      <c r="J364" s="412">
        <v>6886693.7599999998</v>
      </c>
      <c r="K364" s="385">
        <v>45440</v>
      </c>
      <c r="L364" s="387" t="s">
        <v>981</v>
      </c>
      <c r="M364" s="388">
        <v>45440.751828703702</v>
      </c>
      <c r="N364" s="368" t="s">
        <v>356</v>
      </c>
      <c r="O364" s="368" t="s">
        <v>368</v>
      </c>
    </row>
    <row r="365" spans="1:15" ht="30" hidden="1" outlineLevel="1">
      <c r="B365" s="384">
        <v>2024</v>
      </c>
      <c r="C365" s="384">
        <v>11</v>
      </c>
      <c r="D365" s="367" t="s">
        <v>5</v>
      </c>
      <c r="E365" s="367" t="s">
        <v>6</v>
      </c>
      <c r="F365" s="367" t="s">
        <v>971</v>
      </c>
      <c r="G365" s="385">
        <v>45428</v>
      </c>
      <c r="H365" s="367" t="s">
        <v>11</v>
      </c>
      <c r="I365" s="368" t="str">
        <f>VLOOKUP(H365,'[2]Source Codes'!A$2:B$115,2,FALSE)</f>
        <v>AR Payments</v>
      </c>
      <c r="J365" s="412">
        <v>3958671.39</v>
      </c>
      <c r="K365" s="385">
        <v>45440</v>
      </c>
      <c r="L365" s="387" t="s">
        <v>398</v>
      </c>
      <c r="M365" s="388">
        <v>45440.751828703702</v>
      </c>
      <c r="N365" s="368" t="s">
        <v>356</v>
      </c>
      <c r="O365" s="368" t="s">
        <v>357</v>
      </c>
    </row>
    <row r="366" spans="1:15" ht="30" hidden="1" outlineLevel="1">
      <c r="B366" s="384">
        <v>2024</v>
      </c>
      <c r="C366" s="384">
        <v>11</v>
      </c>
      <c r="D366" s="367" t="s">
        <v>5</v>
      </c>
      <c r="E366" s="367" t="s">
        <v>6</v>
      </c>
      <c r="F366" s="367" t="s">
        <v>972</v>
      </c>
      <c r="G366" s="385">
        <v>45440</v>
      </c>
      <c r="H366" s="367" t="s">
        <v>12</v>
      </c>
      <c r="I366" s="368" t="str">
        <f>VLOOKUP(H366,'[2]Source Codes'!A$2:B$115,2,FALSE)</f>
        <v>AR Direct Cash Journal</v>
      </c>
      <c r="J366" s="412">
        <v>1967036.29</v>
      </c>
      <c r="K366" s="385">
        <v>45440</v>
      </c>
      <c r="L366" s="387" t="s">
        <v>982</v>
      </c>
      <c r="M366" s="388">
        <v>45440.751828703702</v>
      </c>
      <c r="N366" s="368" t="s">
        <v>356</v>
      </c>
      <c r="O366" s="368" t="s">
        <v>370</v>
      </c>
    </row>
    <row r="367" spans="1:15" ht="15" hidden="1" outlineLevel="1">
      <c r="B367" s="384">
        <v>2024</v>
      </c>
      <c r="C367" s="384">
        <v>11</v>
      </c>
      <c r="D367" s="367" t="s">
        <v>5</v>
      </c>
      <c r="E367" s="367" t="s">
        <v>6</v>
      </c>
      <c r="F367" s="367" t="s">
        <v>973</v>
      </c>
      <c r="G367" s="385">
        <v>45435</v>
      </c>
      <c r="H367" s="367" t="s">
        <v>12</v>
      </c>
      <c r="I367" s="368" t="str">
        <f>VLOOKUP(H367,'[2]Source Codes'!A$2:B$115,2,FALSE)</f>
        <v>AR Direct Cash Journal</v>
      </c>
      <c r="J367" s="412">
        <v>1268357.29</v>
      </c>
      <c r="K367" s="385">
        <v>45440</v>
      </c>
      <c r="L367" s="387" t="s">
        <v>983</v>
      </c>
      <c r="M367" s="388">
        <v>45440.751828703702</v>
      </c>
      <c r="N367" s="368" t="s">
        <v>387</v>
      </c>
      <c r="O367" s="368" t="s">
        <v>390</v>
      </c>
    </row>
    <row r="368" spans="1:15" ht="30" hidden="1" outlineLevel="1">
      <c r="B368" s="384">
        <v>2024</v>
      </c>
      <c r="C368" s="384">
        <v>11</v>
      </c>
      <c r="D368" s="367" t="s">
        <v>5</v>
      </c>
      <c r="E368" s="367" t="s">
        <v>6</v>
      </c>
      <c r="F368" s="367" t="s">
        <v>974</v>
      </c>
      <c r="G368" s="385">
        <v>45429</v>
      </c>
      <c r="H368" s="367" t="s">
        <v>12</v>
      </c>
      <c r="I368" s="368" t="str">
        <f>VLOOKUP(H368,'[2]Source Codes'!A$2:B$115,2,FALSE)</f>
        <v>AR Direct Cash Journal</v>
      </c>
      <c r="J368" s="412">
        <v>1266377.6100000001</v>
      </c>
      <c r="K368" s="385">
        <v>45440</v>
      </c>
      <c r="L368" s="387" t="s">
        <v>984</v>
      </c>
      <c r="M368" s="388">
        <v>45440.751828703702</v>
      </c>
      <c r="N368" s="368" t="s">
        <v>360</v>
      </c>
      <c r="O368" s="368" t="s">
        <v>385</v>
      </c>
    </row>
    <row r="369" spans="1:15" ht="30" hidden="1" outlineLevel="1">
      <c r="B369" s="384">
        <v>2024</v>
      </c>
      <c r="C369" s="384">
        <v>11</v>
      </c>
      <c r="D369" s="367" t="s">
        <v>5</v>
      </c>
      <c r="E369" s="367" t="s">
        <v>6</v>
      </c>
      <c r="F369" s="367" t="s">
        <v>975</v>
      </c>
      <c r="G369" s="385">
        <v>45434</v>
      </c>
      <c r="H369" s="367" t="s">
        <v>11</v>
      </c>
      <c r="I369" s="368" t="str">
        <f>VLOOKUP(H369,'[2]Source Codes'!A$2:B$115,2,FALSE)</f>
        <v>AR Payments</v>
      </c>
      <c r="J369" s="412">
        <v>1149938</v>
      </c>
      <c r="K369" s="385">
        <v>45440</v>
      </c>
      <c r="L369" s="387" t="s">
        <v>979</v>
      </c>
      <c r="M369" s="388">
        <v>45440.751828703702</v>
      </c>
      <c r="N369" s="368" t="s">
        <v>356</v>
      </c>
      <c r="O369" s="368" t="s">
        <v>357</v>
      </c>
    </row>
    <row r="370" spans="1:15" ht="30" hidden="1" outlineLevel="1">
      <c r="B370" s="384">
        <v>2024</v>
      </c>
      <c r="C370" s="384">
        <v>11</v>
      </c>
      <c r="D370" s="367" t="s">
        <v>5</v>
      </c>
      <c r="E370" s="367" t="s">
        <v>6</v>
      </c>
      <c r="F370" s="367" t="s">
        <v>976</v>
      </c>
      <c r="G370" s="385">
        <v>45436</v>
      </c>
      <c r="H370" s="367" t="s">
        <v>11</v>
      </c>
      <c r="I370" s="368" t="str">
        <f>VLOOKUP(H370,'[2]Source Codes'!A$2:B$115,2,FALSE)</f>
        <v>AR Payments</v>
      </c>
      <c r="J370" s="412">
        <v>1099785.3400000001</v>
      </c>
      <c r="K370" s="385">
        <v>45440</v>
      </c>
      <c r="L370" s="387" t="s">
        <v>980</v>
      </c>
      <c r="M370" s="388">
        <v>45440.751828703702</v>
      </c>
      <c r="N370" s="368" t="s">
        <v>356</v>
      </c>
      <c r="O370" s="368" t="s">
        <v>357</v>
      </c>
    </row>
    <row r="371" spans="1:15" ht="12.75" customHeight="1" collapsed="1">
      <c r="J371" s="413">
        <f>SUM(J362:J370)</f>
        <v>11761073.18</v>
      </c>
    </row>
    <row r="373" spans="1:15" ht="12.75" customHeight="1">
      <c r="A373" s="378" t="s">
        <v>985</v>
      </c>
    </row>
    <row r="374" spans="1:15" ht="75" hidden="1" outlineLevel="1">
      <c r="B374" s="384">
        <v>2024</v>
      </c>
      <c r="C374" s="384">
        <v>11</v>
      </c>
      <c r="D374" s="367" t="s">
        <v>5</v>
      </c>
      <c r="E374" s="367" t="s">
        <v>6</v>
      </c>
      <c r="F374" s="367" t="s">
        <v>986</v>
      </c>
      <c r="G374" s="385">
        <v>45441</v>
      </c>
      <c r="H374" s="367" t="s">
        <v>14</v>
      </c>
      <c r="I374" s="368" t="str">
        <f>VLOOKUP(H374,'[2]Source Codes'!A$2:B$115,2,FALSE)</f>
        <v>AP Warrant Issuance</v>
      </c>
      <c r="J374" s="412">
        <v>-58449982.600000001</v>
      </c>
      <c r="K374" s="385">
        <v>45441</v>
      </c>
      <c r="L374" s="387" t="s">
        <v>989</v>
      </c>
      <c r="M374" s="388">
        <v>45441.79315972222</v>
      </c>
      <c r="N374" s="368" t="s">
        <v>361</v>
      </c>
      <c r="O374" s="368" t="s">
        <v>370</v>
      </c>
    </row>
    <row r="375" spans="1:15" ht="30" hidden="1" outlineLevel="1">
      <c r="B375" s="384">
        <v>2024</v>
      </c>
      <c r="C375" s="384">
        <v>11</v>
      </c>
      <c r="D375" s="367" t="s">
        <v>5</v>
      </c>
      <c r="E375" s="367" t="s">
        <v>6</v>
      </c>
      <c r="F375" s="367" t="s">
        <v>987</v>
      </c>
      <c r="G375" s="385">
        <v>45443</v>
      </c>
      <c r="H375" s="367" t="s">
        <v>14</v>
      </c>
      <c r="I375" s="368" t="str">
        <f>VLOOKUP(H375,'[2]Source Codes'!A$2:B$115,2,FALSE)</f>
        <v>AP Warrant Issuance</v>
      </c>
      <c r="J375" s="412">
        <v>-1196281.6000000001</v>
      </c>
      <c r="K375" s="385">
        <v>45441</v>
      </c>
      <c r="L375" s="387" t="s">
        <v>990</v>
      </c>
      <c r="M375" s="388">
        <v>45441.79315972222</v>
      </c>
      <c r="N375" s="368" t="s">
        <v>360</v>
      </c>
      <c r="O375" s="368" t="s">
        <v>364</v>
      </c>
    </row>
    <row r="376" spans="1:15" ht="30" hidden="1" outlineLevel="1">
      <c r="B376" s="384">
        <v>2024</v>
      </c>
      <c r="C376" s="384">
        <v>11</v>
      </c>
      <c r="D376" s="367" t="s">
        <v>5</v>
      </c>
      <c r="E376" s="367" t="s">
        <v>6</v>
      </c>
      <c r="F376" s="367" t="s">
        <v>988</v>
      </c>
      <c r="G376" s="385">
        <v>45440</v>
      </c>
      <c r="H376" s="367" t="s">
        <v>12</v>
      </c>
      <c r="I376" s="368" t="str">
        <f>VLOOKUP(H376,'[2]Source Codes'!A$2:B$115,2,FALSE)</f>
        <v>AR Direct Cash Journal</v>
      </c>
      <c r="J376" s="412">
        <v>1005026.94</v>
      </c>
      <c r="K376" s="385">
        <v>45441</v>
      </c>
      <c r="L376" s="387" t="s">
        <v>991</v>
      </c>
      <c r="M376" s="388">
        <v>45441.751840277779</v>
      </c>
      <c r="N376" s="368" t="s">
        <v>356</v>
      </c>
      <c r="O376" s="368" t="s">
        <v>370</v>
      </c>
    </row>
    <row r="377" spans="1:15" ht="12.75" customHeight="1" collapsed="1">
      <c r="J377" s="413">
        <f>SUM(J374:J376)</f>
        <v>-58641237.260000005</v>
      </c>
    </row>
    <row r="379" spans="1:15" ht="12.75" customHeight="1">
      <c r="A379" s="378" t="s">
        <v>992</v>
      </c>
    </row>
    <row r="380" spans="1:15" ht="90" hidden="1" outlineLevel="1">
      <c r="B380" s="384">
        <v>2024</v>
      </c>
      <c r="C380" s="384">
        <v>11</v>
      </c>
      <c r="D380" s="367" t="s">
        <v>5</v>
      </c>
      <c r="E380" s="367" t="s">
        <v>6</v>
      </c>
      <c r="F380" s="367" t="s">
        <v>993</v>
      </c>
      <c r="G380" s="385">
        <v>45427</v>
      </c>
      <c r="H380" s="367" t="s">
        <v>12</v>
      </c>
      <c r="I380" s="368" t="str">
        <f>VLOOKUP(H380,'[2]Source Codes'!A$2:B$115,2,FALSE)</f>
        <v>AR Direct Cash Journal</v>
      </c>
      <c r="J380" s="412">
        <v>25630851.120000001</v>
      </c>
      <c r="K380" s="385">
        <v>45442</v>
      </c>
      <c r="L380" s="387" t="s">
        <v>1001</v>
      </c>
      <c r="M380" s="388">
        <v>45442.752164351848</v>
      </c>
      <c r="N380" s="368" t="s">
        <v>356</v>
      </c>
      <c r="O380" s="368" t="s">
        <v>368</v>
      </c>
    </row>
    <row r="381" spans="1:15" ht="45" hidden="1" outlineLevel="1">
      <c r="B381" s="384">
        <v>2024</v>
      </c>
      <c r="C381" s="384">
        <v>11</v>
      </c>
      <c r="D381" s="367" t="s">
        <v>5</v>
      </c>
      <c r="E381" s="367" t="s">
        <v>6</v>
      </c>
      <c r="F381" s="367" t="s">
        <v>994</v>
      </c>
      <c r="G381" s="385">
        <v>45442</v>
      </c>
      <c r="H381" s="367" t="s">
        <v>11</v>
      </c>
      <c r="I381" s="368" t="str">
        <f>VLOOKUP(H381,'[2]Source Codes'!A$2:B$115,2,FALSE)</f>
        <v>AR Payments</v>
      </c>
      <c r="J381" s="412">
        <v>5773463.2400000002</v>
      </c>
      <c r="K381" s="385">
        <v>45442</v>
      </c>
      <c r="L381" s="387" t="s">
        <v>1002</v>
      </c>
      <c r="M381" s="388">
        <v>45442.752164351848</v>
      </c>
      <c r="N381" s="368" t="s">
        <v>356</v>
      </c>
      <c r="O381" s="368" t="s">
        <v>357</v>
      </c>
    </row>
    <row r="382" spans="1:15" ht="45" hidden="1" outlineLevel="1">
      <c r="B382" s="384">
        <v>2024</v>
      </c>
      <c r="C382" s="384">
        <v>11</v>
      </c>
      <c r="D382" s="367" t="s">
        <v>5</v>
      </c>
      <c r="E382" s="367" t="s">
        <v>6</v>
      </c>
      <c r="F382" s="367" t="s">
        <v>995</v>
      </c>
      <c r="G382" s="385">
        <v>45429</v>
      </c>
      <c r="H382" s="367" t="s">
        <v>12</v>
      </c>
      <c r="I382" s="368" t="str">
        <f>VLOOKUP(H382,'[2]Source Codes'!A$2:B$115,2,FALSE)</f>
        <v>AR Direct Cash Journal</v>
      </c>
      <c r="J382" s="412">
        <v>4500805</v>
      </c>
      <c r="K382" s="385">
        <v>45442</v>
      </c>
      <c r="L382" s="387" t="s">
        <v>1004</v>
      </c>
      <c r="M382" s="388">
        <v>45442.752164351848</v>
      </c>
      <c r="N382" s="368" t="s">
        <v>360</v>
      </c>
      <c r="O382" s="368" t="s">
        <v>368</v>
      </c>
    </row>
    <row r="383" spans="1:15" ht="30" hidden="1" outlineLevel="1">
      <c r="B383" s="384">
        <v>2024</v>
      </c>
      <c r="C383" s="384">
        <v>11</v>
      </c>
      <c r="D383" s="367" t="s">
        <v>5</v>
      </c>
      <c r="E383" s="367" t="s">
        <v>6</v>
      </c>
      <c r="F383" s="367" t="s">
        <v>996</v>
      </c>
      <c r="G383" s="385">
        <v>45426</v>
      </c>
      <c r="H383" s="367" t="s">
        <v>12</v>
      </c>
      <c r="I383" s="368" t="str">
        <f>VLOOKUP(H383,'[2]Source Codes'!A$2:B$115,2,FALSE)</f>
        <v>AR Direct Cash Journal</v>
      </c>
      <c r="J383" s="412">
        <v>1179964.95</v>
      </c>
      <c r="K383" s="385">
        <v>45442</v>
      </c>
      <c r="L383" s="387" t="s">
        <v>1000</v>
      </c>
      <c r="M383" s="388">
        <v>45442.752164351848</v>
      </c>
      <c r="N383" s="368" t="s">
        <v>356</v>
      </c>
      <c r="O383" s="368" t="s">
        <v>362</v>
      </c>
    </row>
    <row r="384" spans="1:15" ht="75" hidden="1" outlineLevel="1">
      <c r="B384" s="384">
        <v>2024</v>
      </c>
      <c r="C384" s="384">
        <v>11</v>
      </c>
      <c r="D384" s="367" t="s">
        <v>5</v>
      </c>
      <c r="E384" s="367" t="s">
        <v>6</v>
      </c>
      <c r="F384" s="367" t="s">
        <v>997</v>
      </c>
      <c r="G384" s="385">
        <v>45434</v>
      </c>
      <c r="H384" s="367" t="s">
        <v>9</v>
      </c>
      <c r="I384" s="368" t="str">
        <f>VLOOKUP(H384,'[2]Source Codes'!A$2:B$115,2,FALSE)</f>
        <v>On Line Journal Entries</v>
      </c>
      <c r="J384" s="412">
        <v>7894551.8399999999</v>
      </c>
      <c r="K384" s="385">
        <v>45442</v>
      </c>
      <c r="L384" s="387" t="s">
        <v>339</v>
      </c>
      <c r="M384" s="388">
        <v>45442.869456018518</v>
      </c>
      <c r="N384" s="368" t="s">
        <v>356</v>
      </c>
      <c r="O384" s="368" t="s">
        <v>364</v>
      </c>
    </row>
    <row r="385" spans="1:15" ht="75" hidden="1" outlineLevel="1">
      <c r="B385" s="384">
        <v>2024</v>
      </c>
      <c r="C385" s="384">
        <v>11</v>
      </c>
      <c r="D385" s="367" t="s">
        <v>5</v>
      </c>
      <c r="E385" s="367" t="s">
        <v>6</v>
      </c>
      <c r="F385" s="367" t="s">
        <v>998</v>
      </c>
      <c r="G385" s="385">
        <v>45434</v>
      </c>
      <c r="H385" s="367" t="s">
        <v>9</v>
      </c>
      <c r="I385" s="368" t="str">
        <f>VLOOKUP(H385,'[2]Source Codes'!A$2:B$115,2,FALSE)</f>
        <v>On Line Journal Entries</v>
      </c>
      <c r="J385" s="414">
        <v>7577900</v>
      </c>
      <c r="K385" s="385">
        <v>45442</v>
      </c>
      <c r="L385" s="387" t="s">
        <v>339</v>
      </c>
      <c r="M385" s="388">
        <v>45442.869456018518</v>
      </c>
      <c r="N385" s="368" t="s">
        <v>356</v>
      </c>
      <c r="O385" s="368" t="s">
        <v>364</v>
      </c>
    </row>
    <row r="386" spans="1:15" ht="12.75" hidden="1" customHeight="1" outlineLevel="1">
      <c r="B386" s="384">
        <v>2024</v>
      </c>
      <c r="C386" s="384">
        <v>11</v>
      </c>
      <c r="D386" s="367" t="s">
        <v>5</v>
      </c>
      <c r="E386" s="367" t="s">
        <v>6</v>
      </c>
      <c r="F386" s="367" t="s">
        <v>999</v>
      </c>
      <c r="G386" s="385">
        <v>45434</v>
      </c>
      <c r="H386" s="367" t="s">
        <v>337</v>
      </c>
      <c r="I386" s="368" t="str">
        <f>VLOOKUP(H386,'[2]Source Codes'!A$2:B$115,2,FALSE)</f>
        <v>Facilities Mngmnt Intfc Jrnls</v>
      </c>
      <c r="J386" s="412">
        <v>-3528305.46</v>
      </c>
      <c r="K386" s="385">
        <v>45442</v>
      </c>
      <c r="L386" s="387" t="s">
        <v>1003</v>
      </c>
      <c r="M386" s="388">
        <v>45442.869537037041</v>
      </c>
      <c r="N386" s="368" t="s">
        <v>356</v>
      </c>
      <c r="O386" s="368" t="s">
        <v>367</v>
      </c>
    </row>
    <row r="387" spans="1:15" ht="12.75" customHeight="1" collapsed="1">
      <c r="J387" s="413">
        <f>SUM(J380:J386)</f>
        <v>49029230.690000005</v>
      </c>
    </row>
    <row r="389" spans="1:15" ht="12.75" customHeight="1">
      <c r="A389" s="378" t="s">
        <v>1005</v>
      </c>
    </row>
    <row r="390" spans="1:15" ht="60" hidden="1" outlineLevel="1">
      <c r="B390" s="384">
        <v>2024</v>
      </c>
      <c r="C390" s="384">
        <v>11</v>
      </c>
      <c r="D390" s="367" t="s">
        <v>5</v>
      </c>
      <c r="E390" s="367" t="s">
        <v>6</v>
      </c>
      <c r="F390" s="367" t="s">
        <v>1006</v>
      </c>
      <c r="G390" s="385">
        <v>45442</v>
      </c>
      <c r="H390" s="367" t="s">
        <v>12</v>
      </c>
      <c r="I390" s="368" t="str">
        <f>VLOOKUP(H390,'[2]Source Codes'!A$2:B$115,2,FALSE)</f>
        <v>AR Direct Cash Journal</v>
      </c>
      <c r="J390" s="412">
        <v>24434702.739999998</v>
      </c>
      <c r="K390" s="385">
        <v>45443</v>
      </c>
      <c r="L390" s="387" t="s">
        <v>1010</v>
      </c>
      <c r="M390" s="388">
        <v>45443.751631944448</v>
      </c>
      <c r="N390" s="368" t="s">
        <v>356</v>
      </c>
      <c r="O390" s="368" t="s">
        <v>368</v>
      </c>
    </row>
    <row r="391" spans="1:15" ht="30" hidden="1" outlineLevel="1">
      <c r="B391" s="384">
        <v>2024</v>
      </c>
      <c r="C391" s="384">
        <v>11</v>
      </c>
      <c r="D391" s="367" t="s">
        <v>5</v>
      </c>
      <c r="E391" s="367" t="s">
        <v>6</v>
      </c>
      <c r="F391" s="367" t="s">
        <v>1007</v>
      </c>
      <c r="G391" s="385">
        <v>45434</v>
      </c>
      <c r="H391" s="367" t="s">
        <v>12</v>
      </c>
      <c r="I391" s="368" t="str">
        <f>VLOOKUP(H391,'[2]Source Codes'!A$2:B$115,2,FALSE)</f>
        <v>AR Direct Cash Journal</v>
      </c>
      <c r="J391" s="412">
        <v>1333240.03</v>
      </c>
      <c r="K391" s="385">
        <v>45443</v>
      </c>
      <c r="L391" s="387" t="s">
        <v>1011</v>
      </c>
      <c r="M391" s="388">
        <v>45443.751631944448</v>
      </c>
      <c r="N391" s="368" t="s">
        <v>356</v>
      </c>
      <c r="O391" s="368" t="s">
        <v>362</v>
      </c>
    </row>
    <row r="392" spans="1:15" ht="30" hidden="1" outlineLevel="1">
      <c r="B392" s="384">
        <v>2024</v>
      </c>
      <c r="C392" s="384">
        <v>11</v>
      </c>
      <c r="D392" s="367" t="s">
        <v>5</v>
      </c>
      <c r="E392" s="367" t="s">
        <v>6</v>
      </c>
      <c r="F392" s="367" t="s">
        <v>1008</v>
      </c>
      <c r="G392" s="385">
        <v>45441</v>
      </c>
      <c r="H392" s="367" t="s">
        <v>9</v>
      </c>
      <c r="I392" s="368" t="str">
        <f>VLOOKUP(H392,'[2]Source Codes'!A$2:B$115,2,FALSE)</f>
        <v>On Line Journal Entries</v>
      </c>
      <c r="J392" s="412">
        <v>18719124.859999999</v>
      </c>
      <c r="K392" s="385">
        <v>45443</v>
      </c>
      <c r="L392" s="387" t="s">
        <v>1009</v>
      </c>
      <c r="M392" s="388">
        <v>45443.510231481479</v>
      </c>
      <c r="N392" s="368" t="s">
        <v>387</v>
      </c>
      <c r="O392" s="368" t="s">
        <v>358</v>
      </c>
    </row>
    <row r="393" spans="1:15" ht="12.75" customHeight="1" collapsed="1">
      <c r="J393" s="413">
        <f>SUM(J390:J392)</f>
        <v>44487067.629999995</v>
      </c>
    </row>
    <row r="395" spans="1:15" ht="12.75" customHeight="1">
      <c r="A395" s="378" t="s">
        <v>1012</v>
      </c>
    </row>
    <row r="396" spans="1:15" ht="60" hidden="1" outlineLevel="1">
      <c r="B396" s="384">
        <v>2024</v>
      </c>
      <c r="C396" s="384">
        <v>12</v>
      </c>
      <c r="D396" s="367" t="s">
        <v>5</v>
      </c>
      <c r="E396" s="367" t="s">
        <v>6</v>
      </c>
      <c r="F396" s="367" t="s">
        <v>1013</v>
      </c>
      <c r="G396" s="385">
        <v>45446</v>
      </c>
      <c r="H396" s="367" t="s">
        <v>14</v>
      </c>
      <c r="I396" s="368" t="str">
        <f>VLOOKUP(H396,'[2]Source Codes'!A$2:B$115,2,FALSE)</f>
        <v>AP Warrant Issuance</v>
      </c>
      <c r="J396" s="412">
        <v>-1561251.9</v>
      </c>
      <c r="K396" s="385">
        <v>45446</v>
      </c>
      <c r="L396" s="369" t="s">
        <v>1027</v>
      </c>
      <c r="M396" s="388">
        <v>45446.793761574074</v>
      </c>
      <c r="N396" s="368" t="s">
        <v>360</v>
      </c>
      <c r="O396" s="368" t="s">
        <v>370</v>
      </c>
    </row>
    <row r="397" spans="1:15" ht="30" hidden="1" outlineLevel="1">
      <c r="B397" s="384">
        <v>2024</v>
      </c>
      <c r="C397" s="384">
        <v>11</v>
      </c>
      <c r="D397" s="367" t="s">
        <v>5</v>
      </c>
      <c r="E397" s="367" t="s">
        <v>6</v>
      </c>
      <c r="F397" s="367" t="s">
        <v>1014</v>
      </c>
      <c r="G397" s="385">
        <v>45426</v>
      </c>
      <c r="H397" s="367" t="s">
        <v>12</v>
      </c>
      <c r="I397" s="368" t="str">
        <f>VLOOKUP(H397,'[2]Source Codes'!A$2:B$115,2,FALSE)</f>
        <v>AR Direct Cash Journal</v>
      </c>
      <c r="J397" s="412">
        <v>4528979.74</v>
      </c>
      <c r="K397" s="385">
        <v>45446</v>
      </c>
      <c r="L397" s="387" t="s">
        <v>1000</v>
      </c>
      <c r="M397" s="388">
        <v>45446.751562500001</v>
      </c>
      <c r="N397" s="368" t="s">
        <v>356</v>
      </c>
      <c r="O397" s="368" t="s">
        <v>362</v>
      </c>
    </row>
    <row r="398" spans="1:15" ht="30" hidden="1" outlineLevel="1">
      <c r="B398" s="384">
        <v>2024</v>
      </c>
      <c r="C398" s="384">
        <v>12</v>
      </c>
      <c r="D398" s="367" t="s">
        <v>5</v>
      </c>
      <c r="E398" s="367" t="s">
        <v>6</v>
      </c>
      <c r="F398" s="367" t="s">
        <v>1015</v>
      </c>
      <c r="G398" s="385">
        <v>45444</v>
      </c>
      <c r="H398" s="367" t="s">
        <v>9</v>
      </c>
      <c r="I398" s="368" t="str">
        <f>VLOOKUP(H398,'[2]Source Codes'!A$2:B$115,2,FALSE)</f>
        <v>On Line Journal Entries</v>
      </c>
      <c r="J398" s="412">
        <v>2331657.52</v>
      </c>
      <c r="K398" s="385">
        <v>45446</v>
      </c>
      <c r="L398" s="387" t="s">
        <v>1021</v>
      </c>
      <c r="M398" s="388">
        <v>45446.869432870371</v>
      </c>
      <c r="N398" s="368" t="s">
        <v>360</v>
      </c>
      <c r="O398" s="368" t="s">
        <v>1028</v>
      </c>
    </row>
    <row r="399" spans="1:15" ht="30" hidden="1" outlineLevel="1">
      <c r="B399" s="384">
        <v>2024</v>
      </c>
      <c r="C399" s="384">
        <v>12</v>
      </c>
      <c r="D399" s="367" t="s">
        <v>5</v>
      </c>
      <c r="E399" s="367" t="s">
        <v>6</v>
      </c>
      <c r="F399" s="367" t="s">
        <v>1016</v>
      </c>
      <c r="G399" s="385">
        <v>45444</v>
      </c>
      <c r="H399" s="367" t="s">
        <v>9</v>
      </c>
      <c r="I399" s="368" t="str">
        <f>VLOOKUP(H399,'[2]Source Codes'!A$2:B$115,2,FALSE)</f>
        <v>On Line Journal Entries</v>
      </c>
      <c r="J399" s="412">
        <v>1256745</v>
      </c>
      <c r="K399" s="385">
        <v>45446</v>
      </c>
      <c r="L399" s="387" t="s">
        <v>1022</v>
      </c>
      <c r="M399" s="388">
        <v>45446.869432870371</v>
      </c>
      <c r="N399" s="368" t="s">
        <v>387</v>
      </c>
      <c r="O399" s="368" t="s">
        <v>367</v>
      </c>
    </row>
    <row r="400" spans="1:15" ht="30" hidden="1" outlineLevel="1">
      <c r="B400" s="384">
        <v>2024</v>
      </c>
      <c r="C400" s="384">
        <v>12</v>
      </c>
      <c r="D400" s="367" t="s">
        <v>5</v>
      </c>
      <c r="E400" s="367" t="s">
        <v>6</v>
      </c>
      <c r="F400" s="367" t="s">
        <v>1017</v>
      </c>
      <c r="G400" s="385">
        <v>45444</v>
      </c>
      <c r="H400" s="367" t="s">
        <v>9</v>
      </c>
      <c r="I400" s="368" t="str">
        <f>VLOOKUP(H400,'[2]Source Codes'!A$2:B$115,2,FALSE)</f>
        <v>On Line Journal Entries</v>
      </c>
      <c r="J400" s="412">
        <v>-2164036.13</v>
      </c>
      <c r="K400" s="385">
        <v>45446</v>
      </c>
      <c r="L400" s="387" t="s">
        <v>1023</v>
      </c>
      <c r="M400" s="388">
        <v>45446.869432870371</v>
      </c>
      <c r="N400" s="368" t="s">
        <v>361</v>
      </c>
      <c r="O400" s="368" t="s">
        <v>358</v>
      </c>
    </row>
    <row r="401" spans="1:15" ht="30" hidden="1" outlineLevel="1">
      <c r="B401" s="384">
        <v>2024</v>
      </c>
      <c r="C401" s="384">
        <v>12</v>
      </c>
      <c r="D401" s="367" t="s">
        <v>5</v>
      </c>
      <c r="E401" s="367" t="s">
        <v>6</v>
      </c>
      <c r="F401" s="367" t="s">
        <v>1018</v>
      </c>
      <c r="G401" s="385">
        <v>45444</v>
      </c>
      <c r="H401" s="367" t="s">
        <v>9</v>
      </c>
      <c r="I401" s="368" t="str">
        <f>VLOOKUP(H401,'[2]Source Codes'!A$2:B$115,2,FALSE)</f>
        <v>On Line Journal Entries</v>
      </c>
      <c r="J401" s="412">
        <v>-4396667.41</v>
      </c>
      <c r="K401" s="385">
        <v>45446</v>
      </c>
      <c r="L401" s="387" t="s">
        <v>1024</v>
      </c>
      <c r="M401" s="388">
        <v>45446.869432870371</v>
      </c>
      <c r="N401" s="368" t="s">
        <v>356</v>
      </c>
      <c r="O401" s="368" t="s">
        <v>374</v>
      </c>
    </row>
    <row r="402" spans="1:15" ht="30" hidden="1" outlineLevel="1">
      <c r="B402" s="384">
        <v>2024</v>
      </c>
      <c r="C402" s="384">
        <v>12</v>
      </c>
      <c r="D402" s="367" t="s">
        <v>5</v>
      </c>
      <c r="E402" s="367" t="s">
        <v>6</v>
      </c>
      <c r="F402" s="367" t="s">
        <v>1019</v>
      </c>
      <c r="G402" s="385">
        <v>45444</v>
      </c>
      <c r="H402" s="367" t="s">
        <v>9</v>
      </c>
      <c r="I402" s="368" t="str">
        <f>VLOOKUP(H402,'[2]Source Codes'!A$2:B$115,2,FALSE)</f>
        <v>On Line Journal Entries</v>
      </c>
      <c r="J402" s="412">
        <v>-5716051</v>
      </c>
      <c r="K402" s="385">
        <v>45446</v>
      </c>
      <c r="L402" s="387" t="s">
        <v>1025</v>
      </c>
      <c r="M402" s="388">
        <v>45446.647858796299</v>
      </c>
      <c r="N402" s="368" t="s">
        <v>360</v>
      </c>
      <c r="O402" s="368" t="s">
        <v>358</v>
      </c>
    </row>
    <row r="403" spans="1:15" ht="30" hidden="1" outlineLevel="1">
      <c r="B403" s="384">
        <v>2024</v>
      </c>
      <c r="C403" s="384">
        <v>12</v>
      </c>
      <c r="D403" s="367" t="s">
        <v>5</v>
      </c>
      <c r="E403" s="367" t="s">
        <v>6</v>
      </c>
      <c r="F403" s="367" t="s">
        <v>1020</v>
      </c>
      <c r="G403" s="385">
        <v>45444</v>
      </c>
      <c r="H403" s="367" t="s">
        <v>9</v>
      </c>
      <c r="I403" s="368" t="str">
        <f>VLOOKUP(H403,'[2]Source Codes'!A$2:B$115,2,FALSE)</f>
        <v>On Line Journal Entries</v>
      </c>
      <c r="J403" s="412">
        <v>-9243463.0299999993</v>
      </c>
      <c r="K403" s="385">
        <v>45446</v>
      </c>
      <c r="L403" s="387" t="s">
        <v>1026</v>
      </c>
      <c r="M403" s="388">
        <v>45446.869432870371</v>
      </c>
      <c r="N403" s="368" t="s">
        <v>360</v>
      </c>
      <c r="O403" s="368" t="s">
        <v>368</v>
      </c>
    </row>
    <row r="404" spans="1:15" ht="12.75" customHeight="1" collapsed="1">
      <c r="J404" s="413">
        <f>SUM(J396:J403)</f>
        <v>-14964087.209999999</v>
      </c>
    </row>
    <row r="406" spans="1:15" ht="12.75" customHeight="1">
      <c r="A406" s="378" t="s">
        <v>1029</v>
      </c>
    </row>
    <row r="407" spans="1:15" ht="30" hidden="1" outlineLevel="1">
      <c r="B407" s="384">
        <v>2024</v>
      </c>
      <c r="C407" s="384">
        <v>11</v>
      </c>
      <c r="D407" s="367" t="s">
        <v>5</v>
      </c>
      <c r="E407" s="367" t="s">
        <v>6</v>
      </c>
      <c r="F407" s="367" t="s">
        <v>1030</v>
      </c>
      <c r="G407" s="385">
        <v>45443</v>
      </c>
      <c r="H407" s="367" t="s">
        <v>12</v>
      </c>
      <c r="I407" s="368" t="str">
        <f>VLOOKUP(H407,'[2]Source Codes'!A$2:B$115,2,FALSE)</f>
        <v>AR Direct Cash Journal</v>
      </c>
      <c r="J407" s="412">
        <v>3780434.47</v>
      </c>
      <c r="K407" s="385">
        <v>45447</v>
      </c>
      <c r="L407" s="387" t="s">
        <v>527</v>
      </c>
      <c r="M407" s="388">
        <v>45447.751504629632</v>
      </c>
      <c r="N407" s="368" t="s">
        <v>356</v>
      </c>
      <c r="O407" s="368" t="s">
        <v>370</v>
      </c>
    </row>
    <row r="408" spans="1:15" ht="12.75" hidden="1" customHeight="1" outlineLevel="1">
      <c r="B408" s="384">
        <v>2024</v>
      </c>
      <c r="C408" s="384">
        <v>11</v>
      </c>
      <c r="D408" s="367" t="s">
        <v>5</v>
      </c>
      <c r="E408" s="367" t="s">
        <v>6</v>
      </c>
      <c r="F408" s="367" t="s">
        <v>1031</v>
      </c>
      <c r="G408" s="385">
        <v>45441</v>
      </c>
      <c r="H408" s="367" t="s">
        <v>7</v>
      </c>
      <c r="I408" s="368" t="str">
        <f>VLOOKUP(H408,'[2]Source Codes'!A$2:B$115,2,FALSE)</f>
        <v>HRMS Interface Journals</v>
      </c>
      <c r="J408" s="412">
        <v>-2473098</v>
      </c>
      <c r="K408" s="385">
        <v>45447</v>
      </c>
      <c r="L408" s="387" t="s">
        <v>350</v>
      </c>
      <c r="M408" s="388">
        <v>45447.319722222222</v>
      </c>
      <c r="N408" s="368" t="s">
        <v>378</v>
      </c>
      <c r="O408" s="368" t="s">
        <v>379</v>
      </c>
    </row>
    <row r="409" spans="1:15" ht="12.75" hidden="1" customHeight="1" outlineLevel="1">
      <c r="B409" s="384">
        <v>2024</v>
      </c>
      <c r="C409" s="384">
        <v>11</v>
      </c>
      <c r="D409" s="367" t="s">
        <v>5</v>
      </c>
      <c r="E409" s="367" t="s">
        <v>6</v>
      </c>
      <c r="F409" s="367" t="s">
        <v>1032</v>
      </c>
      <c r="G409" s="385">
        <v>45441</v>
      </c>
      <c r="H409" s="367" t="s">
        <v>7</v>
      </c>
      <c r="I409" s="368" t="str">
        <f>VLOOKUP(H409,'[2]Source Codes'!A$2:B$115,2,FALSE)</f>
        <v>HRMS Interface Journals</v>
      </c>
      <c r="J409" s="412">
        <v>-10939173.960000001</v>
      </c>
      <c r="K409" s="385">
        <v>45447</v>
      </c>
      <c r="L409" s="387" t="s">
        <v>349</v>
      </c>
      <c r="M409" s="388">
        <v>45447.316817129627</v>
      </c>
      <c r="N409" s="368" t="s">
        <v>378</v>
      </c>
      <c r="O409" s="368" t="s">
        <v>379</v>
      </c>
    </row>
    <row r="410" spans="1:15" ht="12.75" customHeight="1" collapsed="1">
      <c r="J410" s="413">
        <f>SUM(J407:J409)</f>
        <v>-9631837.4900000002</v>
      </c>
    </row>
    <row r="412" spans="1:15" ht="12.75" customHeight="1">
      <c r="A412" s="378" t="s">
        <v>1033</v>
      </c>
    </row>
    <row r="413" spans="1:15" ht="60" hidden="1" outlineLevel="1">
      <c r="B413" s="384">
        <v>2024</v>
      </c>
      <c r="C413" s="384">
        <v>12</v>
      </c>
      <c r="D413" s="367" t="s">
        <v>5</v>
      </c>
      <c r="E413" s="367" t="s">
        <v>6</v>
      </c>
      <c r="F413" s="367" t="s">
        <v>1034</v>
      </c>
      <c r="G413" s="385">
        <v>45448</v>
      </c>
      <c r="H413" s="367" t="s">
        <v>14</v>
      </c>
      <c r="I413" s="368" t="str">
        <f>VLOOKUP(H413,'[2]Source Codes'!A$2:B$115,2,FALSE)</f>
        <v>AP Warrant Issuance</v>
      </c>
      <c r="J413" s="412">
        <v>-8242462.4400000004</v>
      </c>
      <c r="K413" s="385">
        <v>45448</v>
      </c>
      <c r="L413" s="387" t="s">
        <v>1056</v>
      </c>
      <c r="M413" s="388">
        <v>45448.793541666666</v>
      </c>
      <c r="N413" s="368" t="s">
        <v>356</v>
      </c>
      <c r="O413" s="368" t="s">
        <v>364</v>
      </c>
    </row>
    <row r="414" spans="1:15" ht="60" hidden="1" outlineLevel="1">
      <c r="B414" s="384">
        <v>2024</v>
      </c>
      <c r="C414" s="384">
        <v>12</v>
      </c>
      <c r="D414" s="367" t="s">
        <v>5</v>
      </c>
      <c r="E414" s="367" t="s">
        <v>6</v>
      </c>
      <c r="F414" s="367" t="s">
        <v>1035</v>
      </c>
      <c r="G414" s="385">
        <v>45450</v>
      </c>
      <c r="H414" s="367" t="s">
        <v>14</v>
      </c>
      <c r="I414" s="368" t="str">
        <f>VLOOKUP(H414,'[2]Source Codes'!A$2:B$115,2,FALSE)</f>
        <v>AP Warrant Issuance</v>
      </c>
      <c r="J414" s="412">
        <v>-5038625.04</v>
      </c>
      <c r="K414" s="385">
        <v>45448</v>
      </c>
      <c r="L414" s="387" t="s">
        <v>1057</v>
      </c>
      <c r="M414" s="388">
        <v>45448.793541666666</v>
      </c>
      <c r="N414" s="368" t="s">
        <v>356</v>
      </c>
      <c r="O414" s="368" t="s">
        <v>364</v>
      </c>
    </row>
    <row r="415" spans="1:15" ht="60" hidden="1" outlineLevel="1">
      <c r="B415" s="384">
        <v>2024</v>
      </c>
      <c r="C415" s="384">
        <v>12</v>
      </c>
      <c r="D415" s="367" t="s">
        <v>5</v>
      </c>
      <c r="E415" s="367" t="s">
        <v>6</v>
      </c>
      <c r="F415" s="367" t="s">
        <v>1036</v>
      </c>
      <c r="G415" s="385">
        <v>45446</v>
      </c>
      <c r="H415" s="367" t="s">
        <v>11</v>
      </c>
      <c r="I415" s="368" t="str">
        <f>VLOOKUP(H415,'[2]Source Codes'!A$2:B$115,2,FALSE)</f>
        <v>AR Payments</v>
      </c>
      <c r="J415" s="412">
        <v>1176694.75</v>
      </c>
      <c r="K415" s="385">
        <v>45448</v>
      </c>
      <c r="L415" s="387" t="s">
        <v>1058</v>
      </c>
      <c r="M415" s="388">
        <v>45448.751759259256</v>
      </c>
      <c r="N415" s="368" t="s">
        <v>356</v>
      </c>
      <c r="O415" s="368" t="s">
        <v>357</v>
      </c>
    </row>
    <row r="416" spans="1:15" ht="30" hidden="1" outlineLevel="1">
      <c r="B416" s="384">
        <v>2024</v>
      </c>
      <c r="C416" s="384">
        <v>11</v>
      </c>
      <c r="D416" s="367" t="s">
        <v>5</v>
      </c>
      <c r="E416" s="367" t="s">
        <v>6</v>
      </c>
      <c r="F416" s="367" t="s">
        <v>1037</v>
      </c>
      <c r="G416" s="385">
        <v>45435</v>
      </c>
      <c r="H416" s="367" t="s">
        <v>9</v>
      </c>
      <c r="I416" s="368" t="str">
        <f>VLOOKUP(H416,'[2]Source Codes'!A$2:B$115,2,FALSE)</f>
        <v>On Line Journal Entries</v>
      </c>
      <c r="J416" s="412">
        <v>183276069</v>
      </c>
      <c r="K416" s="385">
        <v>45448</v>
      </c>
      <c r="L416" s="387" t="s">
        <v>1055</v>
      </c>
      <c r="M416" s="388">
        <v>45448.614363425928</v>
      </c>
      <c r="N416" s="368" t="s">
        <v>377</v>
      </c>
      <c r="O416" s="368" t="s">
        <v>371</v>
      </c>
    </row>
    <row r="417" spans="1:15" ht="30" hidden="1" outlineLevel="1">
      <c r="B417" s="384">
        <v>2024</v>
      </c>
      <c r="C417" s="384">
        <v>12</v>
      </c>
      <c r="D417" s="367" t="s">
        <v>5</v>
      </c>
      <c r="E417" s="367" t="s">
        <v>6</v>
      </c>
      <c r="F417" s="367" t="s">
        <v>1038</v>
      </c>
      <c r="G417" s="385">
        <v>45446</v>
      </c>
      <c r="H417" s="367" t="s">
        <v>16</v>
      </c>
      <c r="I417" s="368" t="str">
        <f>VLOOKUP(H417,'[2]Source Codes'!A$2:B$115,2,FALSE)</f>
        <v>Property Tax Interface</v>
      </c>
      <c r="J417" s="412">
        <v>157322782.28</v>
      </c>
      <c r="K417" s="385">
        <v>45448</v>
      </c>
      <c r="L417" s="387" t="s">
        <v>1043</v>
      </c>
      <c r="M417" s="388">
        <v>45448.726423611108</v>
      </c>
      <c r="N417" s="368" t="s">
        <v>377</v>
      </c>
      <c r="O417" s="368" t="s">
        <v>384</v>
      </c>
    </row>
    <row r="418" spans="1:15" ht="15" hidden="1" outlineLevel="1">
      <c r="B418" s="384">
        <v>2024</v>
      </c>
      <c r="C418" s="384">
        <v>11</v>
      </c>
      <c r="D418" s="367" t="s">
        <v>5</v>
      </c>
      <c r="E418" s="367" t="s">
        <v>6</v>
      </c>
      <c r="F418" s="367" t="s">
        <v>1039</v>
      </c>
      <c r="G418" s="385">
        <v>45439</v>
      </c>
      <c r="H418" s="367" t="s">
        <v>9</v>
      </c>
      <c r="I418" s="368" t="str">
        <f>VLOOKUP(H418,'[2]Source Codes'!A$2:B$115,2,FALSE)</f>
        <v>On Line Journal Entries</v>
      </c>
      <c r="J418" s="412">
        <v>27678802.57</v>
      </c>
      <c r="K418" s="385">
        <v>45448</v>
      </c>
      <c r="L418" s="387" t="s">
        <v>1044</v>
      </c>
      <c r="M418" s="388">
        <v>45448.439236111109</v>
      </c>
      <c r="N418" s="368" t="s">
        <v>356</v>
      </c>
      <c r="O418" s="368" t="s">
        <v>371</v>
      </c>
    </row>
    <row r="419" spans="1:15" ht="45" hidden="1" outlineLevel="1">
      <c r="B419" s="384">
        <v>2024</v>
      </c>
      <c r="C419" s="384">
        <v>11</v>
      </c>
      <c r="D419" s="367" t="s">
        <v>5</v>
      </c>
      <c r="E419" s="367" t="s">
        <v>6</v>
      </c>
      <c r="F419" s="367" t="s">
        <v>1040</v>
      </c>
      <c r="G419" s="385">
        <v>45439</v>
      </c>
      <c r="H419" s="367" t="s">
        <v>9</v>
      </c>
      <c r="I419" s="368" t="str">
        <f>VLOOKUP(H419,'[2]Source Codes'!A$2:B$115,2,FALSE)</f>
        <v>On Line Journal Entries</v>
      </c>
      <c r="J419" s="412">
        <v>12966226.380000001</v>
      </c>
      <c r="K419" s="385">
        <v>45448</v>
      </c>
      <c r="L419" s="387" t="s">
        <v>1045</v>
      </c>
      <c r="M419" s="388">
        <v>45448.441608796296</v>
      </c>
      <c r="N419" s="368" t="s">
        <v>356</v>
      </c>
      <c r="O419" s="368" t="s">
        <v>371</v>
      </c>
    </row>
    <row r="420" spans="1:15" ht="60" hidden="1" outlineLevel="1">
      <c r="B420" s="384">
        <v>2024</v>
      </c>
      <c r="C420" s="384">
        <v>11</v>
      </c>
      <c r="D420" s="367" t="s">
        <v>5</v>
      </c>
      <c r="E420" s="367" t="s">
        <v>6</v>
      </c>
      <c r="F420" s="367" t="s">
        <v>1041</v>
      </c>
      <c r="G420" s="385">
        <v>45439</v>
      </c>
      <c r="H420" s="367" t="s">
        <v>9</v>
      </c>
      <c r="I420" s="368" t="str">
        <f>VLOOKUP(H420,'[2]Source Codes'!A$2:B$115,2,FALSE)</f>
        <v>On Line Journal Entries</v>
      </c>
      <c r="J420" s="412">
        <v>3348859.09</v>
      </c>
      <c r="K420" s="385">
        <v>45448</v>
      </c>
      <c r="L420" s="387" t="s">
        <v>1046</v>
      </c>
      <c r="M420" s="388">
        <v>45448.395185185182</v>
      </c>
      <c r="N420" s="368" t="s">
        <v>356</v>
      </c>
      <c r="O420" s="368" t="s">
        <v>371</v>
      </c>
    </row>
    <row r="421" spans="1:15" ht="15" hidden="1" outlineLevel="1">
      <c r="B421" s="384">
        <v>2024</v>
      </c>
      <c r="C421" s="384">
        <v>11</v>
      </c>
      <c r="D421" s="367" t="s">
        <v>5</v>
      </c>
      <c r="E421" s="367" t="s">
        <v>6</v>
      </c>
      <c r="F421" s="367" t="s">
        <v>1042</v>
      </c>
      <c r="G421" s="385">
        <v>45439</v>
      </c>
      <c r="H421" s="367" t="s">
        <v>9</v>
      </c>
      <c r="I421" s="368" t="str">
        <f>VLOOKUP(H421,'[2]Source Codes'!A$2:B$115,2,FALSE)</f>
        <v>On Line Journal Entries</v>
      </c>
      <c r="J421" s="412">
        <v>1985623.24</v>
      </c>
      <c r="K421" s="385">
        <v>45448</v>
      </c>
      <c r="L421" s="387" t="s">
        <v>1047</v>
      </c>
      <c r="M421" s="388">
        <v>45448.39267361111</v>
      </c>
      <c r="N421" s="368" t="s">
        <v>356</v>
      </c>
      <c r="O421" s="368" t="s">
        <v>371</v>
      </c>
    </row>
    <row r="422" spans="1:15" ht="30" hidden="1" outlineLevel="1">
      <c r="B422" s="384">
        <v>2024</v>
      </c>
      <c r="C422" s="384">
        <v>11</v>
      </c>
      <c r="D422" s="367" t="s">
        <v>5</v>
      </c>
      <c r="E422" s="367" t="s">
        <v>6</v>
      </c>
      <c r="F422" s="367" t="s">
        <v>1048</v>
      </c>
      <c r="G422" s="385">
        <v>45439</v>
      </c>
      <c r="H422" s="367" t="s">
        <v>9</v>
      </c>
      <c r="I422" s="368" t="str">
        <f>VLOOKUP(H422,'[2]Source Codes'!A$2:B$115,2,FALSE)</f>
        <v>On Line Journal Entries</v>
      </c>
      <c r="J422" s="412">
        <v>-1438210.33</v>
      </c>
      <c r="K422" s="385">
        <v>45448</v>
      </c>
      <c r="L422" s="387" t="s">
        <v>1052</v>
      </c>
      <c r="M422" s="388">
        <v>45448.416388888887</v>
      </c>
      <c r="N422" s="368" t="s">
        <v>356</v>
      </c>
      <c r="O422" s="368" t="s">
        <v>371</v>
      </c>
    </row>
    <row r="423" spans="1:15" ht="15" hidden="1" outlineLevel="1">
      <c r="B423" s="384">
        <v>2024</v>
      </c>
      <c r="C423" s="384">
        <v>12</v>
      </c>
      <c r="D423" s="367" t="s">
        <v>5</v>
      </c>
      <c r="E423" s="367" t="s">
        <v>6</v>
      </c>
      <c r="F423" s="367" t="s">
        <v>1049</v>
      </c>
      <c r="G423" s="385">
        <v>45444</v>
      </c>
      <c r="H423" s="367" t="s">
        <v>13</v>
      </c>
      <c r="I423" s="368" t="str">
        <f>VLOOKUP(H423,'[2]Source Codes'!A$2:B$115,2,FALSE)</f>
        <v>C-IV Voucher/Payments/EBT</v>
      </c>
      <c r="J423" s="412">
        <v>-11235036.720000001</v>
      </c>
      <c r="K423" s="385">
        <v>45448</v>
      </c>
      <c r="L423" s="387" t="s">
        <v>1053</v>
      </c>
      <c r="M423" s="388">
        <v>45448.869456018518</v>
      </c>
      <c r="N423" s="368" t="s">
        <v>356</v>
      </c>
      <c r="O423" s="368" t="s">
        <v>364</v>
      </c>
    </row>
    <row r="424" spans="1:15" ht="15" hidden="1" outlineLevel="1">
      <c r="B424" s="384">
        <v>2024</v>
      </c>
      <c r="C424" s="384">
        <v>12</v>
      </c>
      <c r="D424" s="367" t="s">
        <v>5</v>
      </c>
      <c r="E424" s="367" t="s">
        <v>6</v>
      </c>
      <c r="F424" s="367" t="s">
        <v>1050</v>
      </c>
      <c r="G424" s="385">
        <v>45444</v>
      </c>
      <c r="H424" s="367" t="s">
        <v>13</v>
      </c>
      <c r="I424" s="368" t="str">
        <f>VLOOKUP(H424,'[2]Source Codes'!A$2:B$115,2,FALSE)</f>
        <v>C-IV Voucher/Payments/EBT</v>
      </c>
      <c r="J424" s="412">
        <v>-16798823.48</v>
      </c>
      <c r="K424" s="385">
        <v>45448</v>
      </c>
      <c r="L424" s="387" t="s">
        <v>1054</v>
      </c>
      <c r="M424" s="388">
        <v>45448.869456018518</v>
      </c>
      <c r="N424" s="368" t="s">
        <v>356</v>
      </c>
      <c r="O424" s="368" t="s">
        <v>364</v>
      </c>
    </row>
    <row r="425" spans="1:15" ht="15" hidden="1" outlineLevel="1">
      <c r="B425" s="384">
        <v>2024</v>
      </c>
      <c r="C425" s="384">
        <v>11</v>
      </c>
      <c r="D425" s="367" t="s">
        <v>5</v>
      </c>
      <c r="E425" s="367" t="s">
        <v>6</v>
      </c>
      <c r="F425" s="367" t="s">
        <v>1051</v>
      </c>
      <c r="G425" s="385">
        <v>45441</v>
      </c>
      <c r="H425" s="367" t="s">
        <v>7</v>
      </c>
      <c r="I425" s="368" t="str">
        <f>VLOOKUP(H425,'[2]Source Codes'!A$2:B$115,2,FALSE)</f>
        <v>HRMS Interface Journals</v>
      </c>
      <c r="J425" s="412">
        <v>-58985805.729999997</v>
      </c>
      <c r="K425" s="385">
        <v>45448</v>
      </c>
      <c r="L425" s="387" t="s">
        <v>348</v>
      </c>
      <c r="M425" s="388">
        <v>45448.532094907408</v>
      </c>
      <c r="N425" s="368" t="s">
        <v>378</v>
      </c>
      <c r="O425" s="368" t="s">
        <v>379</v>
      </c>
    </row>
    <row r="426" spans="1:15" ht="12.75" customHeight="1" collapsed="1">
      <c r="I426" s="368"/>
      <c r="J426" s="413">
        <f>SUM(J413:J425)</f>
        <v>286016093.56999993</v>
      </c>
      <c r="M426" s="388"/>
    </row>
    <row r="427" spans="1:15" ht="12.75" customHeight="1">
      <c r="I427" s="368"/>
      <c r="M427" s="388"/>
    </row>
    <row r="428" spans="1:15" ht="12.75" customHeight="1">
      <c r="F428" s="367"/>
      <c r="I428" s="368"/>
      <c r="M428" s="388"/>
    </row>
    <row r="429" spans="1:15" ht="15">
      <c r="A429" s="378" t="s">
        <v>1059</v>
      </c>
    </row>
    <row r="430" spans="1:15" ht="60" hidden="1" outlineLevel="1">
      <c r="B430" s="384">
        <v>2024</v>
      </c>
      <c r="C430" s="384">
        <v>12</v>
      </c>
      <c r="D430" s="367" t="s">
        <v>5</v>
      </c>
      <c r="E430" s="367" t="s">
        <v>6</v>
      </c>
      <c r="F430" s="367" t="s">
        <v>1060</v>
      </c>
      <c r="G430" s="385">
        <v>45449</v>
      </c>
      <c r="H430" s="367" t="s">
        <v>14</v>
      </c>
      <c r="I430" s="368" t="str">
        <f>VLOOKUP(H430,'[2]Source Codes'!A$2:B$115,2,FALSE)</f>
        <v>AP Warrant Issuance</v>
      </c>
      <c r="J430" s="412">
        <v>-5481744.4299999997</v>
      </c>
      <c r="K430" s="385">
        <v>45449</v>
      </c>
      <c r="L430" s="387" t="s">
        <v>1065</v>
      </c>
      <c r="M430" s="388">
        <v>45449.793449074074</v>
      </c>
      <c r="N430" s="368" t="s">
        <v>356</v>
      </c>
      <c r="O430" s="368" t="s">
        <v>357</v>
      </c>
    </row>
    <row r="431" spans="1:15" ht="45" hidden="1" outlineLevel="1">
      <c r="B431" s="384">
        <v>2024</v>
      </c>
      <c r="C431" s="384">
        <v>12</v>
      </c>
      <c r="D431" s="367" t="s">
        <v>5</v>
      </c>
      <c r="E431" s="367" t="s">
        <v>6</v>
      </c>
      <c r="F431" s="367" t="s">
        <v>1061</v>
      </c>
      <c r="G431" s="385">
        <v>45446</v>
      </c>
      <c r="H431" s="367" t="s">
        <v>11</v>
      </c>
      <c r="I431" s="368" t="str">
        <f>VLOOKUP(H431,'[2]Source Codes'!A$2:B$115,2,FALSE)</f>
        <v>AR Payments</v>
      </c>
      <c r="J431" s="412">
        <v>6292242.8399999999</v>
      </c>
      <c r="K431" s="385">
        <v>45449</v>
      </c>
      <c r="L431" s="387" t="s">
        <v>1066</v>
      </c>
      <c r="M431" s="388">
        <v>45449.751666666663</v>
      </c>
      <c r="N431" s="368" t="s">
        <v>356</v>
      </c>
      <c r="O431" s="368" t="s">
        <v>357</v>
      </c>
    </row>
    <row r="432" spans="1:15" ht="30" hidden="1" outlineLevel="1">
      <c r="B432" s="384">
        <v>2024</v>
      </c>
      <c r="C432" s="384">
        <v>12</v>
      </c>
      <c r="D432" s="367" t="s">
        <v>5</v>
      </c>
      <c r="E432" s="367" t="s">
        <v>6</v>
      </c>
      <c r="F432" s="367" t="s">
        <v>1062</v>
      </c>
      <c r="G432" s="385">
        <v>45447</v>
      </c>
      <c r="H432" s="367" t="s">
        <v>11</v>
      </c>
      <c r="I432" s="368" t="str">
        <f>VLOOKUP(H432,'[2]Source Codes'!A$2:B$115,2,FALSE)</f>
        <v>AR Payments</v>
      </c>
      <c r="J432" s="412">
        <v>2894354.14</v>
      </c>
      <c r="K432" s="385">
        <v>45449</v>
      </c>
      <c r="L432" s="387" t="s">
        <v>404</v>
      </c>
      <c r="M432" s="388">
        <v>45449.751666666663</v>
      </c>
      <c r="N432" s="368" t="s">
        <v>356</v>
      </c>
      <c r="O432" s="368" t="s">
        <v>357</v>
      </c>
    </row>
    <row r="433" spans="1:15" ht="30" hidden="1" outlineLevel="1">
      <c r="B433" s="384">
        <v>2024</v>
      </c>
      <c r="C433" s="384">
        <v>12</v>
      </c>
      <c r="D433" s="367" t="s">
        <v>5</v>
      </c>
      <c r="E433" s="367" t="s">
        <v>6</v>
      </c>
      <c r="F433" s="367" t="s">
        <v>1063</v>
      </c>
      <c r="G433" s="385">
        <v>45447</v>
      </c>
      <c r="H433" s="367" t="s">
        <v>9</v>
      </c>
      <c r="I433" s="368" t="str">
        <f>VLOOKUP(H433,'[2]Source Codes'!A$2:B$115,2,FALSE)</f>
        <v>On Line Journal Entries</v>
      </c>
      <c r="J433" s="412">
        <v>-28441954.82</v>
      </c>
      <c r="K433" s="385">
        <v>45449</v>
      </c>
      <c r="L433" s="387" t="s">
        <v>1064</v>
      </c>
      <c r="M433" s="388">
        <v>45449.869490740741</v>
      </c>
      <c r="N433" s="368" t="s">
        <v>377</v>
      </c>
      <c r="O433" s="368" t="s">
        <v>371</v>
      </c>
    </row>
    <row r="434" spans="1:15" ht="12.75" customHeight="1" collapsed="1">
      <c r="J434" s="413">
        <f>SUM(J430:J433)</f>
        <v>-24737102.27</v>
      </c>
    </row>
    <row r="436" spans="1:15" ht="12.75" customHeight="1">
      <c r="A436" s="378" t="s">
        <v>1067</v>
      </c>
    </row>
    <row r="437" spans="1:15" ht="45" hidden="1" outlineLevel="1">
      <c r="B437" s="384">
        <v>2024</v>
      </c>
      <c r="C437" s="384">
        <v>12</v>
      </c>
      <c r="D437" s="367" t="s">
        <v>5</v>
      </c>
      <c r="E437" s="367" t="s">
        <v>6</v>
      </c>
      <c r="F437" s="367" t="s">
        <v>1068</v>
      </c>
      <c r="G437" s="385">
        <v>45450</v>
      </c>
      <c r="H437" s="367" t="s">
        <v>14</v>
      </c>
      <c r="I437" s="368" t="str">
        <f>VLOOKUP(H437,'[2]Source Codes'!A$2:B$115,2,FALSE)</f>
        <v>AP Warrant Issuance</v>
      </c>
      <c r="J437" s="412">
        <v>-1159990.1100000001</v>
      </c>
      <c r="K437" s="385">
        <v>45450</v>
      </c>
      <c r="L437" s="387" t="s">
        <v>1073</v>
      </c>
      <c r="M437" s="388">
        <v>45450.793530092589</v>
      </c>
      <c r="N437" s="368" t="s">
        <v>360</v>
      </c>
      <c r="O437" s="368" t="s">
        <v>364</v>
      </c>
    </row>
    <row r="438" spans="1:15" ht="45" hidden="1" outlineLevel="1">
      <c r="B438" s="384">
        <v>2024</v>
      </c>
      <c r="C438" s="384">
        <v>12</v>
      </c>
      <c r="D438" s="367" t="s">
        <v>5</v>
      </c>
      <c r="E438" s="367" t="s">
        <v>6</v>
      </c>
      <c r="F438" s="367" t="s">
        <v>1069</v>
      </c>
      <c r="G438" s="385">
        <v>45450</v>
      </c>
      <c r="H438" s="367" t="s">
        <v>12</v>
      </c>
      <c r="I438" s="368" t="str">
        <f>VLOOKUP(H438,'[2]Source Codes'!A$2:B$115,2,FALSE)</f>
        <v>AR Direct Cash Journal</v>
      </c>
      <c r="J438" s="412">
        <v>2611582.6800000002</v>
      </c>
      <c r="K438" s="385">
        <v>45450</v>
      </c>
      <c r="L438" s="387" t="s">
        <v>1074</v>
      </c>
      <c r="M438" s="388">
        <v>45450.751643518517</v>
      </c>
      <c r="N438" s="368" t="s">
        <v>387</v>
      </c>
      <c r="O438" s="368" t="s">
        <v>358</v>
      </c>
    </row>
    <row r="439" spans="1:15" ht="45" hidden="1" outlineLevel="1">
      <c r="B439" s="384">
        <v>2024</v>
      </c>
      <c r="C439" s="384">
        <v>12</v>
      </c>
      <c r="D439" s="367" t="s">
        <v>5</v>
      </c>
      <c r="E439" s="367" t="s">
        <v>6</v>
      </c>
      <c r="F439" s="367" t="s">
        <v>1070</v>
      </c>
      <c r="G439" s="385">
        <v>45447</v>
      </c>
      <c r="H439" s="367" t="s">
        <v>12</v>
      </c>
      <c r="I439" s="368" t="str">
        <f>VLOOKUP(H439,'[2]Source Codes'!A$2:B$115,2,FALSE)</f>
        <v>AR Direct Cash Journal</v>
      </c>
      <c r="J439" s="412">
        <v>1900528.42</v>
      </c>
      <c r="K439" s="385">
        <v>45450</v>
      </c>
      <c r="L439" s="387" t="s">
        <v>1075</v>
      </c>
      <c r="M439" s="388">
        <v>45450.751643518517</v>
      </c>
      <c r="N439" s="368" t="s">
        <v>356</v>
      </c>
      <c r="O439" s="368" t="s">
        <v>370</v>
      </c>
    </row>
    <row r="440" spans="1:15" ht="30" hidden="1" outlineLevel="1">
      <c r="B440" s="384">
        <v>2024</v>
      </c>
      <c r="C440" s="384">
        <v>12</v>
      </c>
      <c r="D440" s="367" t="s">
        <v>5</v>
      </c>
      <c r="E440" s="367" t="s">
        <v>6</v>
      </c>
      <c r="F440" s="367" t="s">
        <v>1071</v>
      </c>
      <c r="G440" s="385">
        <v>45450</v>
      </c>
      <c r="H440" s="367" t="s">
        <v>12</v>
      </c>
      <c r="I440" s="368" t="str">
        <f>VLOOKUP(H440,'[2]Source Codes'!A$2:B$115,2,FALSE)</f>
        <v>AR Direct Cash Journal</v>
      </c>
      <c r="J440" s="412">
        <v>1620571.48</v>
      </c>
      <c r="K440" s="385">
        <v>45450</v>
      </c>
      <c r="L440" s="387" t="s">
        <v>516</v>
      </c>
      <c r="M440" s="388">
        <v>45450.751643518517</v>
      </c>
      <c r="N440" s="368" t="s">
        <v>356</v>
      </c>
      <c r="O440" s="368" t="s">
        <v>370</v>
      </c>
    </row>
    <row r="441" spans="1:15" ht="12.75" hidden="1" customHeight="1" outlineLevel="1">
      <c r="B441" s="384">
        <v>2024</v>
      </c>
      <c r="C441" s="384">
        <v>12</v>
      </c>
      <c r="D441" s="367" t="s">
        <v>5</v>
      </c>
      <c r="E441" s="367" t="s">
        <v>6</v>
      </c>
      <c r="F441" s="367" t="s">
        <v>1072</v>
      </c>
      <c r="G441" s="385">
        <v>45449</v>
      </c>
      <c r="H441" s="367" t="s">
        <v>12</v>
      </c>
      <c r="I441" s="368" t="str">
        <f>VLOOKUP(H441,'[2]Source Codes'!A$2:B$115,2,FALSE)</f>
        <v>AR Direct Cash Journal</v>
      </c>
      <c r="J441" s="412">
        <v>1018372.82</v>
      </c>
      <c r="K441" s="385">
        <v>45450</v>
      </c>
      <c r="L441" s="387" t="s">
        <v>1076</v>
      </c>
      <c r="M441" s="388">
        <v>45450.751643518517</v>
      </c>
      <c r="N441" s="368" t="s">
        <v>356</v>
      </c>
      <c r="O441" s="368" t="s">
        <v>370</v>
      </c>
    </row>
    <row r="442" spans="1:15" ht="12.75" customHeight="1" collapsed="1">
      <c r="J442" s="413">
        <f>SUM(J437:J441)</f>
        <v>5991065.290000001</v>
      </c>
    </row>
    <row r="444" spans="1:15" ht="12.75" customHeight="1">
      <c r="A444" s="378" t="s">
        <v>1077</v>
      </c>
    </row>
    <row r="445" spans="1:15" ht="45" hidden="1" outlineLevel="1">
      <c r="B445" s="384">
        <v>2024</v>
      </c>
      <c r="C445" s="384">
        <v>12</v>
      </c>
      <c r="D445" s="367" t="s">
        <v>5</v>
      </c>
      <c r="E445" s="367" t="s">
        <v>6</v>
      </c>
      <c r="F445" s="367" t="s">
        <v>1078</v>
      </c>
      <c r="G445" s="385">
        <v>45453</v>
      </c>
      <c r="H445" s="367" t="s">
        <v>14</v>
      </c>
      <c r="I445" s="368" t="str">
        <f>VLOOKUP(H445,'[2]Source Codes'!A$2:B$115,2,FALSE)</f>
        <v>AP Warrant Issuance</v>
      </c>
      <c r="J445" s="412">
        <v>-1459493.49</v>
      </c>
      <c r="K445" s="385">
        <v>45453</v>
      </c>
      <c r="L445" s="387" t="s">
        <v>1083</v>
      </c>
      <c r="M445" s="388">
        <v>45453.793541666666</v>
      </c>
      <c r="N445" s="368" t="s">
        <v>356</v>
      </c>
      <c r="O445" s="368" t="s">
        <v>364</v>
      </c>
    </row>
    <row r="446" spans="1:15" ht="12.75" hidden="1" customHeight="1" outlineLevel="1">
      <c r="B446" s="384">
        <v>2024</v>
      </c>
      <c r="C446" s="384">
        <v>12</v>
      </c>
      <c r="D446" s="367" t="s">
        <v>5</v>
      </c>
      <c r="E446" s="367" t="s">
        <v>6</v>
      </c>
      <c r="F446" s="367" t="s">
        <v>1079</v>
      </c>
      <c r="G446" s="385">
        <v>45450</v>
      </c>
      <c r="H446" s="367" t="s">
        <v>9</v>
      </c>
      <c r="I446" s="368" t="str">
        <f>VLOOKUP(H446,'[2]Source Codes'!A$2:B$115,2,FALSE)</f>
        <v>On Line Journal Entries</v>
      </c>
      <c r="J446" s="412">
        <v>-1542083</v>
      </c>
      <c r="K446" s="385">
        <v>45453</v>
      </c>
      <c r="L446" s="387" t="s">
        <v>1081</v>
      </c>
      <c r="M446" s="388">
        <v>45453.868668981479</v>
      </c>
      <c r="N446" s="368" t="s">
        <v>356</v>
      </c>
      <c r="O446" s="368" t="s">
        <v>368</v>
      </c>
    </row>
    <row r="447" spans="1:15" ht="12.75" hidden="1" customHeight="1" outlineLevel="1">
      <c r="B447" s="384">
        <v>2024</v>
      </c>
      <c r="C447" s="384">
        <v>12</v>
      </c>
      <c r="D447" s="367" t="s">
        <v>5</v>
      </c>
      <c r="E447" s="367" t="s">
        <v>6</v>
      </c>
      <c r="F447" s="367" t="s">
        <v>1080</v>
      </c>
      <c r="G447" s="385">
        <v>45446</v>
      </c>
      <c r="H447" s="367" t="s">
        <v>13</v>
      </c>
      <c r="I447" s="368" t="str">
        <f>VLOOKUP(H447,'[2]Source Codes'!A$2:B$115,2,FALSE)</f>
        <v>C-IV Voucher/Payments/EBT</v>
      </c>
      <c r="J447" s="412">
        <v>-9587970.6699999999</v>
      </c>
      <c r="K447" s="385">
        <v>45453</v>
      </c>
      <c r="L447" s="387" t="s">
        <v>1082</v>
      </c>
      <c r="M447" s="388">
        <v>45453.868680555555</v>
      </c>
      <c r="N447" s="368" t="s">
        <v>356</v>
      </c>
      <c r="O447" s="368" t="s">
        <v>364</v>
      </c>
    </row>
    <row r="448" spans="1:15" ht="12.75" customHeight="1" collapsed="1">
      <c r="J448" s="413">
        <f>SUM(J445:J447)</f>
        <v>-12589547.16</v>
      </c>
    </row>
    <row r="450" spans="1:15" ht="12.75" customHeight="1">
      <c r="A450" s="378" t="s">
        <v>1084</v>
      </c>
    </row>
    <row r="451" spans="1:15" ht="15" hidden="1" outlineLevel="1">
      <c r="B451" s="384">
        <v>2024</v>
      </c>
      <c r="C451" s="384">
        <v>12</v>
      </c>
      <c r="D451" s="367" t="s">
        <v>5</v>
      </c>
      <c r="E451" s="367" t="s">
        <v>6</v>
      </c>
      <c r="F451" s="367" t="s">
        <v>1085</v>
      </c>
      <c r="G451" s="385">
        <v>45446</v>
      </c>
      <c r="H451" s="367" t="s">
        <v>9</v>
      </c>
      <c r="I451" s="368" t="str">
        <f>VLOOKUP(H451,'[2]Source Codes'!A$2:B$115,2,FALSE)</f>
        <v>On Line Journal Entries</v>
      </c>
      <c r="J451" s="412">
        <v>1010354.04</v>
      </c>
      <c r="K451" s="385">
        <v>45454</v>
      </c>
      <c r="L451" s="387" t="s">
        <v>1087</v>
      </c>
      <c r="M451" s="388">
        <v>45454.868807870371</v>
      </c>
      <c r="N451" s="368" t="s">
        <v>356</v>
      </c>
      <c r="O451" s="368" t="s">
        <v>371</v>
      </c>
    </row>
    <row r="452" spans="1:15" ht="30" hidden="1" outlineLevel="1">
      <c r="B452" s="384">
        <v>2024</v>
      </c>
      <c r="C452" s="384">
        <v>12</v>
      </c>
      <c r="D452" s="367" t="s">
        <v>5</v>
      </c>
      <c r="E452" s="367" t="s">
        <v>6</v>
      </c>
      <c r="F452" s="367" t="s">
        <v>1086</v>
      </c>
      <c r="G452" s="385">
        <v>45446</v>
      </c>
      <c r="H452" s="367" t="s">
        <v>9</v>
      </c>
      <c r="I452" s="368" t="str">
        <f>VLOOKUP(H452,'[2]Source Codes'!A$2:B$115,2,FALSE)</f>
        <v>On Line Journal Entries</v>
      </c>
      <c r="J452" s="412">
        <v>-1307855</v>
      </c>
      <c r="K452" s="385">
        <v>45454</v>
      </c>
      <c r="L452" s="387" t="s">
        <v>1088</v>
      </c>
      <c r="M452" s="388">
        <v>45454.447997685187</v>
      </c>
      <c r="N452" s="368" t="s">
        <v>360</v>
      </c>
      <c r="O452" s="368" t="s">
        <v>362</v>
      </c>
    </row>
    <row r="453" spans="1:15" ht="12.75" customHeight="1" collapsed="1">
      <c r="J453" s="413">
        <f>SUM(J451:J452)</f>
        <v>-297500.95999999996</v>
      </c>
    </row>
    <row r="455" spans="1:15" ht="12.75" customHeight="1">
      <c r="A455" s="378" t="s">
        <v>1089</v>
      </c>
    </row>
    <row r="456" spans="1:15" ht="30" hidden="1" outlineLevel="1">
      <c r="B456" s="384">
        <v>2024</v>
      </c>
      <c r="C456" s="384">
        <v>12</v>
      </c>
      <c r="D456" s="367" t="s">
        <v>5</v>
      </c>
      <c r="E456" s="367" t="s">
        <v>6</v>
      </c>
      <c r="F456" s="367" t="s">
        <v>1090</v>
      </c>
      <c r="G456" s="385">
        <v>45455</v>
      </c>
      <c r="H456" s="367" t="s">
        <v>14</v>
      </c>
      <c r="I456" s="368" t="str">
        <f>VLOOKUP(H456,'[2]Source Codes'!A$2:B$115,2,FALSE)</f>
        <v>AP Warrant Issuance</v>
      </c>
      <c r="J456" s="412">
        <v>-1429712.96</v>
      </c>
      <c r="K456" s="385">
        <v>45455</v>
      </c>
      <c r="L456" s="387" t="s">
        <v>1092</v>
      </c>
      <c r="M456" s="388">
        <v>45455.793576388889</v>
      </c>
      <c r="N456" s="368" t="s">
        <v>356</v>
      </c>
      <c r="O456" s="368" t="s">
        <v>368</v>
      </c>
    </row>
    <row r="457" spans="1:15" ht="30" hidden="1" outlineLevel="1">
      <c r="B457" s="384">
        <v>2024</v>
      </c>
      <c r="C457" s="384">
        <v>12</v>
      </c>
      <c r="D457" s="367" t="s">
        <v>5</v>
      </c>
      <c r="E457" s="367" t="s">
        <v>6</v>
      </c>
      <c r="F457" s="367" t="s">
        <v>1091</v>
      </c>
      <c r="G457" s="385">
        <v>45457</v>
      </c>
      <c r="H457" s="367" t="s">
        <v>14</v>
      </c>
      <c r="I457" s="368" t="str">
        <f>VLOOKUP(H457,'[2]Source Codes'!A$2:B$115,2,FALSE)</f>
        <v>AP Warrant Issuance</v>
      </c>
      <c r="J457" s="412">
        <v>-1387656</v>
      </c>
      <c r="K457" s="385">
        <v>45455</v>
      </c>
      <c r="L457" s="387" t="s">
        <v>1093</v>
      </c>
      <c r="M457" s="388">
        <v>45455.793576388889</v>
      </c>
      <c r="N457" s="368" t="s">
        <v>356</v>
      </c>
      <c r="O457" s="368" t="s">
        <v>368</v>
      </c>
    </row>
    <row r="458" spans="1:15" ht="12.75" customHeight="1" collapsed="1">
      <c r="J458" s="413">
        <f>SUM(J456:J457)</f>
        <v>-2817368.96</v>
      </c>
    </row>
    <row r="460" spans="1:15" ht="12.75" customHeight="1">
      <c r="A460" s="378" t="s">
        <v>1094</v>
      </c>
    </row>
    <row r="461" spans="1:15" ht="45" hidden="1" outlineLevel="1">
      <c r="B461" s="384">
        <v>2024</v>
      </c>
      <c r="C461" s="384">
        <v>12</v>
      </c>
      <c r="D461" s="367" t="s">
        <v>5</v>
      </c>
      <c r="E461" s="367" t="s">
        <v>6</v>
      </c>
      <c r="F461" s="367" t="s">
        <v>1095</v>
      </c>
      <c r="G461" s="385">
        <v>45456</v>
      </c>
      <c r="H461" s="367" t="s">
        <v>14</v>
      </c>
      <c r="I461" s="368" t="str">
        <f>VLOOKUP(H461,'[2]Source Codes'!A$2:B$115,2,FALSE)</f>
        <v>AP Warrant Issuance</v>
      </c>
      <c r="J461" s="412">
        <v>-1654086.45</v>
      </c>
      <c r="K461" s="385">
        <v>45456</v>
      </c>
      <c r="L461" s="387" t="s">
        <v>1101</v>
      </c>
      <c r="M461" s="388">
        <v>45456.793657407405</v>
      </c>
      <c r="N461" s="368" t="s">
        <v>356</v>
      </c>
      <c r="O461" s="368" t="s">
        <v>364</v>
      </c>
    </row>
    <row r="462" spans="1:15" ht="30" hidden="1" outlineLevel="1">
      <c r="B462" s="384">
        <v>2024</v>
      </c>
      <c r="C462" s="384">
        <v>12</v>
      </c>
      <c r="D462" s="367" t="s">
        <v>5</v>
      </c>
      <c r="E462" s="367" t="s">
        <v>6</v>
      </c>
      <c r="F462" s="367" t="s">
        <v>1096</v>
      </c>
      <c r="G462" s="385">
        <v>45456</v>
      </c>
      <c r="H462" s="367" t="s">
        <v>14</v>
      </c>
      <c r="I462" s="368" t="str">
        <f>VLOOKUP(H462,'[2]Source Codes'!A$2:B$115,2,FALSE)</f>
        <v>AP Warrant Issuance</v>
      </c>
      <c r="J462" s="412">
        <v>-1493696.49</v>
      </c>
      <c r="K462" s="385">
        <v>45456</v>
      </c>
      <c r="L462" s="387" t="s">
        <v>1102</v>
      </c>
      <c r="M462" s="388">
        <v>45456.793657407405</v>
      </c>
      <c r="N462" s="368" t="s">
        <v>356</v>
      </c>
      <c r="O462" s="368" t="s">
        <v>368</v>
      </c>
    </row>
    <row r="463" spans="1:15" ht="30" hidden="1" outlineLevel="1">
      <c r="B463" s="384">
        <v>2024</v>
      </c>
      <c r="C463" s="384">
        <v>12</v>
      </c>
      <c r="D463" s="367" t="s">
        <v>5</v>
      </c>
      <c r="E463" s="367" t="s">
        <v>6</v>
      </c>
      <c r="F463" s="367" t="s">
        <v>1097</v>
      </c>
      <c r="G463" s="385">
        <v>45456</v>
      </c>
      <c r="H463" s="367" t="s">
        <v>12</v>
      </c>
      <c r="I463" s="368" t="str">
        <f>VLOOKUP(H463,'[2]Source Codes'!A$2:B$115,2,FALSE)</f>
        <v>AR Direct Cash Journal</v>
      </c>
      <c r="J463" s="412">
        <v>1996556.85</v>
      </c>
      <c r="K463" s="385">
        <v>45456</v>
      </c>
      <c r="L463" s="387" t="s">
        <v>1103</v>
      </c>
      <c r="M463" s="388">
        <v>45456.751863425925</v>
      </c>
      <c r="N463" s="368" t="s">
        <v>356</v>
      </c>
      <c r="O463" s="368" t="s">
        <v>370</v>
      </c>
    </row>
    <row r="464" spans="1:15" ht="45" hidden="1" outlineLevel="1">
      <c r="B464" s="384">
        <v>2024</v>
      </c>
      <c r="C464" s="384">
        <v>12</v>
      </c>
      <c r="D464" s="367" t="s">
        <v>5</v>
      </c>
      <c r="E464" s="367" t="s">
        <v>6</v>
      </c>
      <c r="F464" s="367" t="s">
        <v>1098</v>
      </c>
      <c r="G464" s="385">
        <v>45454</v>
      </c>
      <c r="H464" s="367" t="s">
        <v>11</v>
      </c>
      <c r="I464" s="368" t="str">
        <f>VLOOKUP(H464,'[2]Source Codes'!A$2:B$115,2,FALSE)</f>
        <v>AR Payments</v>
      </c>
      <c r="J464" s="412">
        <v>1368114.81</v>
      </c>
      <c r="K464" s="385">
        <v>45456</v>
      </c>
      <c r="L464" s="387" t="s">
        <v>1104</v>
      </c>
      <c r="M464" s="388">
        <v>45456.751863425925</v>
      </c>
      <c r="N464" s="368" t="s">
        <v>356</v>
      </c>
      <c r="O464" s="368" t="s">
        <v>357</v>
      </c>
    </row>
    <row r="465" spans="1:15" ht="12.75" hidden="1" customHeight="1" outlineLevel="1">
      <c r="B465" s="384">
        <v>2024</v>
      </c>
      <c r="C465" s="384">
        <v>12</v>
      </c>
      <c r="D465" s="367" t="s">
        <v>5</v>
      </c>
      <c r="E465" s="367" t="s">
        <v>6</v>
      </c>
      <c r="F465" s="367" t="s">
        <v>1099</v>
      </c>
      <c r="G465" s="385">
        <v>45455</v>
      </c>
      <c r="H465" s="367" t="s">
        <v>7</v>
      </c>
      <c r="I465" s="368" t="str">
        <f>VLOOKUP(H465,'[2]Source Codes'!A$2:B$115,2,FALSE)</f>
        <v>HRMS Interface Journals</v>
      </c>
      <c r="J465" s="412">
        <v>-2570712.14</v>
      </c>
      <c r="K465" s="385">
        <v>45456</v>
      </c>
      <c r="L465" s="387" t="s">
        <v>350</v>
      </c>
      <c r="M465" s="388">
        <v>45456.355624999997</v>
      </c>
      <c r="N465" s="368" t="s">
        <v>378</v>
      </c>
      <c r="O465" s="368" t="s">
        <v>379</v>
      </c>
    </row>
    <row r="466" spans="1:15" ht="12.75" hidden="1" customHeight="1" outlineLevel="1">
      <c r="B466" s="384">
        <v>2024</v>
      </c>
      <c r="C466" s="384">
        <v>12</v>
      </c>
      <c r="D466" s="367" t="s">
        <v>5</v>
      </c>
      <c r="E466" s="367" t="s">
        <v>6</v>
      </c>
      <c r="F466" s="367" t="s">
        <v>1100</v>
      </c>
      <c r="G466" s="385">
        <v>45455</v>
      </c>
      <c r="H466" s="367" t="s">
        <v>7</v>
      </c>
      <c r="I466" s="368" t="str">
        <f>VLOOKUP(H466,'[2]Source Codes'!A$2:B$115,2,FALSE)</f>
        <v>HRMS Interface Journals</v>
      </c>
      <c r="J466" s="412">
        <v>-16988134.390000001</v>
      </c>
      <c r="K466" s="385">
        <v>45456</v>
      </c>
      <c r="L466" s="387" t="s">
        <v>349</v>
      </c>
      <c r="M466" s="388">
        <v>45456.353981481479</v>
      </c>
      <c r="N466" s="368" t="s">
        <v>378</v>
      </c>
      <c r="O466" s="368" t="s">
        <v>379</v>
      </c>
    </row>
    <row r="467" spans="1:15" ht="12.75" customHeight="1" collapsed="1">
      <c r="J467" s="413">
        <f>SUM(J461:J466)</f>
        <v>-19341957.810000002</v>
      </c>
    </row>
    <row r="469" spans="1:15" ht="12.75" customHeight="1">
      <c r="A469" s="378" t="s">
        <v>1105</v>
      </c>
    </row>
    <row r="470" spans="1:15" ht="30" hidden="1" outlineLevel="1">
      <c r="B470" s="384">
        <v>2024</v>
      </c>
      <c r="C470" s="384">
        <v>12</v>
      </c>
      <c r="D470" s="367" t="s">
        <v>5</v>
      </c>
      <c r="E470" s="367" t="s">
        <v>6</v>
      </c>
      <c r="F470" s="367" t="s">
        <v>1106</v>
      </c>
      <c r="G470" s="385">
        <v>45461</v>
      </c>
      <c r="H470" s="367" t="s">
        <v>14</v>
      </c>
      <c r="I470" s="368" t="str">
        <f>VLOOKUP(H470,'[2]Source Codes'!A$2:B$115,2,FALSE)</f>
        <v>AP Warrant Issuance</v>
      </c>
      <c r="J470" s="412">
        <v>-2212847.84</v>
      </c>
      <c r="K470" s="385">
        <v>45457</v>
      </c>
      <c r="L470" s="387" t="s">
        <v>1108</v>
      </c>
      <c r="M470" s="388">
        <v>45457.793495370373</v>
      </c>
      <c r="N470" s="368" t="s">
        <v>356</v>
      </c>
      <c r="O470" s="368" t="s">
        <v>368</v>
      </c>
    </row>
    <row r="471" spans="1:15" ht="45" hidden="1" outlineLevel="1">
      <c r="B471" s="384">
        <v>2024</v>
      </c>
      <c r="C471" s="384">
        <v>12</v>
      </c>
      <c r="D471" s="367" t="s">
        <v>5</v>
      </c>
      <c r="E471" s="367" t="s">
        <v>6</v>
      </c>
      <c r="F471" s="367" t="s">
        <v>1107</v>
      </c>
      <c r="G471" s="385">
        <v>45461</v>
      </c>
      <c r="H471" s="367" t="s">
        <v>14</v>
      </c>
      <c r="I471" s="368" t="str">
        <f>VLOOKUP(H471,'[2]Source Codes'!A$2:B$115,2,FALSE)</f>
        <v>AP Warrant Issuance</v>
      </c>
      <c r="J471" s="412">
        <v>-1272072.51</v>
      </c>
      <c r="K471" s="385">
        <v>45457</v>
      </c>
      <c r="L471" s="387" t="s">
        <v>1109</v>
      </c>
      <c r="M471" s="388">
        <v>45457.793495370373</v>
      </c>
      <c r="N471" s="368" t="s">
        <v>360</v>
      </c>
      <c r="O471" s="368" t="s">
        <v>364</v>
      </c>
    </row>
    <row r="472" spans="1:15" ht="12.75" customHeight="1" collapsed="1">
      <c r="J472" s="413">
        <f>SUM(J470:J471)</f>
        <v>-3484920.3499999996</v>
      </c>
    </row>
    <row r="474" spans="1:15" ht="12.75" customHeight="1">
      <c r="A474" s="378" t="s">
        <v>1110</v>
      </c>
    </row>
    <row r="475" spans="1:15" ht="45" hidden="1" outlineLevel="1">
      <c r="B475" s="384">
        <v>2024</v>
      </c>
      <c r="C475" s="384">
        <v>12</v>
      </c>
      <c r="D475" s="367" t="s">
        <v>5</v>
      </c>
      <c r="E475" s="367" t="s">
        <v>6</v>
      </c>
      <c r="F475" s="367" t="s">
        <v>1111</v>
      </c>
      <c r="G475" s="385">
        <v>45460</v>
      </c>
      <c r="H475" s="367" t="s">
        <v>14</v>
      </c>
      <c r="I475" s="368" t="str">
        <f>VLOOKUP(H475,'[2]Source Codes'!A$2:B$115,2,FALSE)</f>
        <v>AP Warrant Issuance</v>
      </c>
      <c r="J475" s="412">
        <v>-1785890.87</v>
      </c>
      <c r="K475" s="385">
        <v>45460</v>
      </c>
      <c r="L475" s="387" t="s">
        <v>1117</v>
      </c>
      <c r="M475" s="388">
        <v>45460.79347222222</v>
      </c>
      <c r="N475" s="368" t="s">
        <v>356</v>
      </c>
      <c r="O475" s="368" t="s">
        <v>364</v>
      </c>
    </row>
    <row r="476" spans="1:15" ht="45" hidden="1" outlineLevel="1">
      <c r="B476" s="384">
        <v>2024</v>
      </c>
      <c r="C476" s="384">
        <v>12</v>
      </c>
      <c r="D476" s="367" t="s">
        <v>5</v>
      </c>
      <c r="E476" s="367" t="s">
        <v>6</v>
      </c>
      <c r="F476" s="367" t="s">
        <v>1112</v>
      </c>
      <c r="G476" s="385">
        <v>45456</v>
      </c>
      <c r="H476" s="367" t="s">
        <v>12</v>
      </c>
      <c r="I476" s="368" t="str">
        <f>VLOOKUP(H476,'[2]Source Codes'!A$2:B$115,2,FALSE)</f>
        <v>AR Direct Cash Journal</v>
      </c>
      <c r="J476" s="412">
        <v>4351354.7699999996</v>
      </c>
      <c r="K476" s="385">
        <v>45460</v>
      </c>
      <c r="L476" s="387" t="s">
        <v>1118</v>
      </c>
      <c r="M476" s="388">
        <v>45460.751921296294</v>
      </c>
      <c r="N476" s="368" t="s">
        <v>356</v>
      </c>
      <c r="O476" s="368" t="s">
        <v>370</v>
      </c>
    </row>
    <row r="477" spans="1:15" ht="45" hidden="1" outlineLevel="1">
      <c r="B477" s="384">
        <v>2024</v>
      </c>
      <c r="C477" s="384">
        <v>12</v>
      </c>
      <c r="D477" s="367" t="s">
        <v>5</v>
      </c>
      <c r="E477" s="367" t="s">
        <v>6</v>
      </c>
      <c r="F477" s="367" t="s">
        <v>1113</v>
      </c>
      <c r="G477" s="385">
        <v>45455</v>
      </c>
      <c r="H477" s="367" t="s">
        <v>11</v>
      </c>
      <c r="I477" s="368" t="str">
        <f>VLOOKUP(H477,'[2]Source Codes'!A$2:B$115,2,FALSE)</f>
        <v>AR Payments</v>
      </c>
      <c r="J477" s="412">
        <v>1712896.58</v>
      </c>
      <c r="K477" s="385">
        <v>45460</v>
      </c>
      <c r="L477" s="387" t="s">
        <v>1119</v>
      </c>
      <c r="M477" s="388">
        <v>45460.751921296294</v>
      </c>
      <c r="N477" s="368" t="s">
        <v>356</v>
      </c>
      <c r="O477" s="368" t="s">
        <v>357</v>
      </c>
    </row>
    <row r="478" spans="1:15" ht="30" hidden="1" outlineLevel="1">
      <c r="B478" s="384">
        <v>2024</v>
      </c>
      <c r="C478" s="384">
        <v>12</v>
      </c>
      <c r="D478" s="367" t="s">
        <v>5</v>
      </c>
      <c r="E478" s="367" t="s">
        <v>6</v>
      </c>
      <c r="F478" s="367" t="s">
        <v>1114</v>
      </c>
      <c r="G478" s="385">
        <v>45448</v>
      </c>
      <c r="H478" s="367" t="s">
        <v>11</v>
      </c>
      <c r="I478" s="368" t="str">
        <f>VLOOKUP(H478,'[2]Source Codes'!A$2:B$115,2,FALSE)</f>
        <v>AR Payments</v>
      </c>
      <c r="J478" s="412">
        <v>1198336.8700000001</v>
      </c>
      <c r="K478" s="385">
        <v>45460</v>
      </c>
      <c r="L478" s="387" t="s">
        <v>1120</v>
      </c>
      <c r="M478" s="388">
        <v>45460.751921296294</v>
      </c>
      <c r="N478" s="368" t="s">
        <v>356</v>
      </c>
      <c r="O478" s="368" t="s">
        <v>357</v>
      </c>
    </row>
    <row r="479" spans="1:15" ht="12.75" hidden="1" customHeight="1" outlineLevel="1">
      <c r="B479" s="384">
        <v>2024</v>
      </c>
      <c r="C479" s="384">
        <v>12</v>
      </c>
      <c r="D479" s="367" t="s">
        <v>5</v>
      </c>
      <c r="E479" s="367" t="s">
        <v>6</v>
      </c>
      <c r="F479" s="367" t="s">
        <v>1115</v>
      </c>
      <c r="G479" s="385">
        <v>45446</v>
      </c>
      <c r="H479" s="367" t="s">
        <v>337</v>
      </c>
      <c r="I479" s="368" t="str">
        <f>VLOOKUP(H479,'[2]Source Codes'!A$2:B$115,2,FALSE)</f>
        <v>Facilities Mngmnt Intfc Jrnls</v>
      </c>
      <c r="J479" s="412">
        <v>-1339586.92</v>
      </c>
      <c r="K479" s="385">
        <v>45460</v>
      </c>
      <c r="L479" s="387" t="s">
        <v>1116</v>
      </c>
      <c r="M479" s="388">
        <v>45460.869537037041</v>
      </c>
      <c r="N479" s="368" t="s">
        <v>356</v>
      </c>
      <c r="O479" s="368" t="s">
        <v>367</v>
      </c>
    </row>
    <row r="480" spans="1:15" ht="12.75" customHeight="1" collapsed="1">
      <c r="J480" s="413">
        <f>SUM(J475:J479)</f>
        <v>4137110.4299999997</v>
      </c>
    </row>
    <row r="482" spans="1:15" ht="12.75" customHeight="1">
      <c r="A482" s="378" t="s">
        <v>1121</v>
      </c>
    </row>
    <row r="483" spans="1:15" ht="30" hidden="1" outlineLevel="1">
      <c r="B483" s="384">
        <v>2024</v>
      </c>
      <c r="C483" s="384">
        <v>12</v>
      </c>
      <c r="D483" s="367" t="s">
        <v>5</v>
      </c>
      <c r="E483" s="367" t="s">
        <v>6</v>
      </c>
      <c r="F483" s="367" t="s">
        <v>1122</v>
      </c>
      <c r="G483" s="385">
        <v>45461</v>
      </c>
      <c r="H483" s="367" t="s">
        <v>14</v>
      </c>
      <c r="I483" s="368" t="str">
        <f>VLOOKUP(H483,'[2]Source Codes'!A$2:B$115,2,FALSE)</f>
        <v>AP Warrant Issuance</v>
      </c>
      <c r="J483" s="412">
        <v>-1905953.5</v>
      </c>
      <c r="K483" s="385">
        <v>45461</v>
      </c>
      <c r="L483" s="387" t="s">
        <v>1129</v>
      </c>
      <c r="M483" s="388">
        <v>45461.793923611112</v>
      </c>
      <c r="N483" s="368" t="s">
        <v>356</v>
      </c>
      <c r="O483" s="368" t="s">
        <v>368</v>
      </c>
    </row>
    <row r="484" spans="1:15" ht="30" hidden="1" outlineLevel="1">
      <c r="B484" s="384">
        <v>2024</v>
      </c>
      <c r="C484" s="384">
        <v>12</v>
      </c>
      <c r="D484" s="367" t="s">
        <v>5</v>
      </c>
      <c r="E484" s="367" t="s">
        <v>6</v>
      </c>
      <c r="F484" s="367" t="s">
        <v>1123</v>
      </c>
      <c r="G484" s="385">
        <v>45460</v>
      </c>
      <c r="H484" s="367" t="s">
        <v>11</v>
      </c>
      <c r="I484" s="368" t="str">
        <f>VLOOKUP(H484,'[2]Source Codes'!A$2:B$115,2,FALSE)</f>
        <v>AR Payments</v>
      </c>
      <c r="J484" s="412">
        <v>5140031.21</v>
      </c>
      <c r="K484" s="385">
        <v>45461</v>
      </c>
      <c r="L484" s="387" t="s">
        <v>1128</v>
      </c>
      <c r="M484" s="388">
        <v>45461.751793981479</v>
      </c>
      <c r="N484" s="368" t="s">
        <v>356</v>
      </c>
      <c r="O484" s="368" t="s">
        <v>357</v>
      </c>
    </row>
    <row r="485" spans="1:15" ht="30" hidden="1" outlineLevel="1">
      <c r="B485" s="384">
        <v>2024</v>
      </c>
      <c r="C485" s="384">
        <v>12</v>
      </c>
      <c r="D485" s="367" t="s">
        <v>5</v>
      </c>
      <c r="E485" s="367" t="s">
        <v>6</v>
      </c>
      <c r="F485" s="367" t="s">
        <v>1124</v>
      </c>
      <c r="G485" s="385">
        <v>45455</v>
      </c>
      <c r="H485" s="367" t="s">
        <v>9</v>
      </c>
      <c r="I485" s="368" t="str">
        <f>VLOOKUP(H485,'[2]Source Codes'!A$2:B$115,2,FALSE)</f>
        <v>On Line Journal Entries</v>
      </c>
      <c r="J485" s="412">
        <v>-2000000</v>
      </c>
      <c r="K485" s="385">
        <v>45461</v>
      </c>
      <c r="L485" s="387" t="s">
        <v>1126</v>
      </c>
      <c r="M485" s="388">
        <v>45461.868773148148</v>
      </c>
      <c r="N485" s="368" t="s">
        <v>360</v>
      </c>
      <c r="O485" s="368" t="s">
        <v>381</v>
      </c>
    </row>
    <row r="486" spans="1:15" ht="45" hidden="1" outlineLevel="1">
      <c r="B486" s="384">
        <v>2024</v>
      </c>
      <c r="C486" s="384">
        <v>12</v>
      </c>
      <c r="D486" s="367" t="s">
        <v>5</v>
      </c>
      <c r="E486" s="367" t="s">
        <v>6</v>
      </c>
      <c r="F486" s="367" t="s">
        <v>1125</v>
      </c>
      <c r="G486" s="385">
        <v>45456</v>
      </c>
      <c r="H486" s="367" t="s">
        <v>9</v>
      </c>
      <c r="I486" s="368" t="str">
        <f>VLOOKUP(H486,'[2]Source Codes'!A$2:B$115,2,FALSE)</f>
        <v>On Line Journal Entries</v>
      </c>
      <c r="J486" s="412">
        <v>1730923.06</v>
      </c>
      <c r="K486" s="385">
        <v>45461</v>
      </c>
      <c r="L486" s="387" t="s">
        <v>1127</v>
      </c>
      <c r="M486" s="388">
        <v>45461.643935185188</v>
      </c>
      <c r="N486" s="368" t="s">
        <v>360</v>
      </c>
      <c r="O486" s="368" t="s">
        <v>363</v>
      </c>
    </row>
    <row r="487" spans="1:15" ht="12.75" customHeight="1" collapsed="1">
      <c r="J487" s="413">
        <f>SUM(J483:J486)</f>
        <v>2965000.77</v>
      </c>
    </row>
    <row r="489" spans="1:15" ht="12.75" customHeight="1">
      <c r="A489" s="378" t="s">
        <v>1130</v>
      </c>
    </row>
    <row r="490" spans="1:15" ht="30" hidden="1" outlineLevel="1">
      <c r="B490" s="384">
        <v>2024</v>
      </c>
      <c r="C490" s="384">
        <v>12</v>
      </c>
      <c r="D490" s="367" t="s">
        <v>5</v>
      </c>
      <c r="E490" s="367" t="s">
        <v>6</v>
      </c>
      <c r="F490" s="367" t="s">
        <v>1131</v>
      </c>
      <c r="G490" s="385">
        <v>45463</v>
      </c>
      <c r="H490" s="367" t="s">
        <v>14</v>
      </c>
      <c r="I490" s="368" t="str">
        <f>VLOOKUP(H490,'[2]Source Codes'!A$2:B$115,2,FALSE)</f>
        <v>AP Warrant Issuance</v>
      </c>
      <c r="J490" s="412">
        <v>-1247834.4099999999</v>
      </c>
      <c r="K490" s="385">
        <v>45463</v>
      </c>
      <c r="L490" s="387" t="s">
        <v>1138</v>
      </c>
      <c r="M490" s="388">
        <v>45463.793981481482</v>
      </c>
      <c r="N490" s="368" t="s">
        <v>356</v>
      </c>
      <c r="O490" s="368" t="s">
        <v>364</v>
      </c>
    </row>
    <row r="491" spans="1:15" ht="30" hidden="1" outlineLevel="1">
      <c r="B491" s="384">
        <v>2024</v>
      </c>
      <c r="C491" s="384">
        <v>12</v>
      </c>
      <c r="D491" s="367" t="s">
        <v>5</v>
      </c>
      <c r="E491" s="367" t="s">
        <v>6</v>
      </c>
      <c r="F491" s="367" t="s">
        <v>1132</v>
      </c>
      <c r="G491" s="385">
        <v>45463</v>
      </c>
      <c r="H491" s="367" t="s">
        <v>14</v>
      </c>
      <c r="I491" s="368" t="str">
        <f>VLOOKUP(H491,'[2]Source Codes'!A$2:B$115,2,FALSE)</f>
        <v>AP Warrant Issuance</v>
      </c>
      <c r="J491" s="412">
        <v>-1421731.47</v>
      </c>
      <c r="K491" s="385">
        <v>45463</v>
      </c>
      <c r="L491" s="387" t="s">
        <v>1162</v>
      </c>
      <c r="M491" s="388">
        <v>45463.793981481482</v>
      </c>
      <c r="N491" s="368" t="s">
        <v>356</v>
      </c>
      <c r="O491" s="368" t="s">
        <v>368</v>
      </c>
    </row>
    <row r="492" spans="1:15" ht="30" hidden="1" outlineLevel="1">
      <c r="B492" s="384">
        <v>2024</v>
      </c>
      <c r="C492" s="384">
        <v>12</v>
      </c>
      <c r="D492" s="367" t="s">
        <v>5</v>
      </c>
      <c r="E492" s="367" t="s">
        <v>6</v>
      </c>
      <c r="F492" s="367" t="s">
        <v>1133</v>
      </c>
      <c r="G492" s="385">
        <v>45467</v>
      </c>
      <c r="H492" s="367" t="s">
        <v>14</v>
      </c>
      <c r="I492" s="368" t="str">
        <f>VLOOKUP(H492,'[2]Source Codes'!A$2:B$115,2,FALSE)</f>
        <v>AP Warrant Issuance</v>
      </c>
      <c r="J492" s="412">
        <v>-2103205.33</v>
      </c>
      <c r="K492" s="385">
        <v>45463</v>
      </c>
      <c r="L492" s="387" t="s">
        <v>1163</v>
      </c>
      <c r="M492" s="388">
        <v>45463.793981481482</v>
      </c>
      <c r="N492" s="368" t="s">
        <v>356</v>
      </c>
      <c r="O492" s="368" t="s">
        <v>368</v>
      </c>
    </row>
    <row r="493" spans="1:15" ht="30" hidden="1" outlineLevel="1">
      <c r="B493" s="384">
        <v>2024</v>
      </c>
      <c r="C493" s="384">
        <v>12</v>
      </c>
      <c r="D493" s="367" t="s">
        <v>5</v>
      </c>
      <c r="E493" s="367" t="s">
        <v>6</v>
      </c>
      <c r="F493" s="367" t="s">
        <v>1134</v>
      </c>
      <c r="G493" s="385">
        <v>45461</v>
      </c>
      <c r="H493" s="367" t="s">
        <v>12</v>
      </c>
      <c r="I493" s="368" t="str">
        <f>VLOOKUP(H493,'[2]Source Codes'!A$2:B$115,2,FALSE)</f>
        <v>AR Direct Cash Journal</v>
      </c>
      <c r="J493" s="412">
        <v>1174945.52</v>
      </c>
      <c r="K493" s="385">
        <v>45463</v>
      </c>
      <c r="L493" s="387" t="s">
        <v>1141</v>
      </c>
      <c r="M493" s="388">
        <v>45463.751979166664</v>
      </c>
      <c r="N493" s="368" t="s">
        <v>356</v>
      </c>
      <c r="O493" s="368" t="s">
        <v>370</v>
      </c>
    </row>
    <row r="494" spans="1:15" ht="45" hidden="1" outlineLevel="1">
      <c r="B494" s="384">
        <v>2024</v>
      </c>
      <c r="C494" s="384">
        <v>12</v>
      </c>
      <c r="D494" s="367" t="s">
        <v>5</v>
      </c>
      <c r="E494" s="367" t="s">
        <v>6</v>
      </c>
      <c r="F494" s="367" t="s">
        <v>1135</v>
      </c>
      <c r="G494" s="385">
        <v>45455</v>
      </c>
      <c r="H494" s="367" t="s">
        <v>11</v>
      </c>
      <c r="I494" s="368" t="str">
        <f>VLOOKUP(H494,'[2]Source Codes'!A$2:B$115,2,FALSE)</f>
        <v>AR Payments</v>
      </c>
      <c r="J494" s="412">
        <v>2602553.98</v>
      </c>
      <c r="K494" s="385">
        <v>45463</v>
      </c>
      <c r="L494" s="387" t="s">
        <v>1139</v>
      </c>
      <c r="M494" s="388">
        <v>45463.751979166664</v>
      </c>
      <c r="N494" s="368" t="s">
        <v>356</v>
      </c>
      <c r="O494" s="368" t="s">
        <v>357</v>
      </c>
    </row>
    <row r="495" spans="1:15" ht="12.75" hidden="1" customHeight="1" outlineLevel="1">
      <c r="B495" s="384">
        <v>2024</v>
      </c>
      <c r="C495" s="384">
        <v>12</v>
      </c>
      <c r="D495" s="367" t="s">
        <v>5</v>
      </c>
      <c r="E495" s="367" t="s">
        <v>6</v>
      </c>
      <c r="F495" s="367" t="s">
        <v>1136</v>
      </c>
      <c r="G495" s="385">
        <v>45455</v>
      </c>
      <c r="H495" s="367" t="s">
        <v>7</v>
      </c>
      <c r="I495" s="368" t="str">
        <f>VLOOKUP(H495,'[2]Source Codes'!A$2:B$115,2,FALSE)</f>
        <v>HRMS Interface Journals</v>
      </c>
      <c r="J495" s="412">
        <v>-70540958.140000001</v>
      </c>
      <c r="K495" s="385">
        <v>45463</v>
      </c>
      <c r="L495" s="387" t="s">
        <v>348</v>
      </c>
      <c r="M495" s="388">
        <v>45463.317974537036</v>
      </c>
      <c r="N495" s="368" t="s">
        <v>378</v>
      </c>
      <c r="O495" s="368" t="s">
        <v>379</v>
      </c>
    </row>
    <row r="496" spans="1:15" ht="12.75" hidden="1" customHeight="1" outlineLevel="1">
      <c r="B496" s="384">
        <v>2024</v>
      </c>
      <c r="C496" s="384">
        <v>12</v>
      </c>
      <c r="D496" s="367" t="s">
        <v>5</v>
      </c>
      <c r="E496" s="367" t="s">
        <v>6</v>
      </c>
      <c r="F496" s="367" t="s">
        <v>1137</v>
      </c>
      <c r="G496" s="385">
        <v>45456</v>
      </c>
      <c r="H496" s="367" t="s">
        <v>9</v>
      </c>
      <c r="I496" s="368" t="str">
        <f>VLOOKUP(H496,'[2]Source Codes'!A$2:B$115,2,FALSE)</f>
        <v>On Line Journal Entries</v>
      </c>
      <c r="J496" s="412">
        <v>-2817457.2</v>
      </c>
      <c r="K496" s="385">
        <v>45463</v>
      </c>
      <c r="L496" s="387" t="s">
        <v>1140</v>
      </c>
      <c r="M496" s="388">
        <v>45463.869652777779</v>
      </c>
      <c r="N496" s="368" t="s">
        <v>360</v>
      </c>
      <c r="O496" s="368" t="s">
        <v>504</v>
      </c>
    </row>
    <row r="497" spans="1:15" ht="12.75" customHeight="1" collapsed="1">
      <c r="I497" s="368"/>
      <c r="J497" s="413">
        <f>SUM(J490:J496)</f>
        <v>-74353687.049999997</v>
      </c>
    </row>
    <row r="499" spans="1:15" ht="12.75" customHeight="1">
      <c r="A499" s="378" t="s">
        <v>1142</v>
      </c>
    </row>
    <row r="500" spans="1:15" ht="30" hidden="1" outlineLevel="1">
      <c r="B500" s="384">
        <v>2024</v>
      </c>
      <c r="C500" s="384">
        <v>12</v>
      </c>
      <c r="D500" s="367" t="s">
        <v>5</v>
      </c>
      <c r="E500" s="367" t="s">
        <v>6</v>
      </c>
      <c r="F500" s="367" t="s">
        <v>1143</v>
      </c>
      <c r="G500" s="385">
        <v>45464</v>
      </c>
      <c r="H500" s="367" t="s">
        <v>12</v>
      </c>
      <c r="I500" s="368" t="str">
        <f>VLOOKUP(H500,'[2]Source Codes'!A$2:B$115,2,FALSE)</f>
        <v>AR Direct Cash Journal</v>
      </c>
      <c r="J500" s="412">
        <v>2807974.81</v>
      </c>
      <c r="K500" s="385">
        <v>45464</v>
      </c>
      <c r="L500" s="387" t="s">
        <v>1151</v>
      </c>
      <c r="M500" s="388">
        <v>45464.751817129632</v>
      </c>
      <c r="N500" s="368" t="s">
        <v>356</v>
      </c>
      <c r="O500" s="368" t="s">
        <v>362</v>
      </c>
    </row>
    <row r="501" spans="1:15" ht="75" hidden="1" outlineLevel="1">
      <c r="B501" s="384">
        <v>2024</v>
      </c>
      <c r="C501" s="384">
        <v>12</v>
      </c>
      <c r="D501" s="367" t="s">
        <v>5</v>
      </c>
      <c r="E501" s="367" t="s">
        <v>6</v>
      </c>
      <c r="F501" s="367" t="s">
        <v>1144</v>
      </c>
      <c r="G501" s="385">
        <v>45461</v>
      </c>
      <c r="H501" s="367" t="s">
        <v>11</v>
      </c>
      <c r="I501" s="368" t="str">
        <f>VLOOKUP(H501,'[2]Source Codes'!A$2:B$115,2,FALSE)</f>
        <v>AR Payments</v>
      </c>
      <c r="J501" s="412">
        <v>2176978.37</v>
      </c>
      <c r="K501" s="385">
        <v>45464</v>
      </c>
      <c r="L501" s="387" t="s">
        <v>1154</v>
      </c>
      <c r="M501" s="388">
        <v>45464.751817129632</v>
      </c>
      <c r="N501" s="368" t="s">
        <v>356</v>
      </c>
      <c r="O501" s="368" t="s">
        <v>357</v>
      </c>
    </row>
    <row r="502" spans="1:15" ht="30" hidden="1" outlineLevel="1">
      <c r="B502" s="384">
        <v>2024</v>
      </c>
      <c r="C502" s="384">
        <v>12</v>
      </c>
      <c r="D502" s="367" t="s">
        <v>5</v>
      </c>
      <c r="E502" s="367" t="s">
        <v>6</v>
      </c>
      <c r="F502" s="367" t="s">
        <v>1145</v>
      </c>
      <c r="G502" s="385">
        <v>45463</v>
      </c>
      <c r="H502" s="367" t="s">
        <v>12</v>
      </c>
      <c r="I502" s="368" t="str">
        <f>VLOOKUP(H502,'[2]Source Codes'!A$2:B$115,2,FALSE)</f>
        <v>AR Direct Cash Journal</v>
      </c>
      <c r="J502" s="412">
        <v>1766056.15</v>
      </c>
      <c r="K502" s="385">
        <v>45464</v>
      </c>
      <c r="L502" s="387" t="s">
        <v>1152</v>
      </c>
      <c r="M502" s="388">
        <v>45464.751817129632</v>
      </c>
      <c r="N502" s="368" t="s">
        <v>356</v>
      </c>
      <c r="O502" s="368" t="s">
        <v>370</v>
      </c>
    </row>
    <row r="503" spans="1:15" ht="30" hidden="1" outlineLevel="1">
      <c r="B503" s="384">
        <v>2024</v>
      </c>
      <c r="C503" s="384">
        <v>12</v>
      </c>
      <c r="D503" s="367" t="s">
        <v>5</v>
      </c>
      <c r="E503" s="367" t="s">
        <v>6</v>
      </c>
      <c r="F503" s="367" t="s">
        <v>1146</v>
      </c>
      <c r="G503" s="385">
        <v>45457</v>
      </c>
      <c r="H503" s="367" t="s">
        <v>12</v>
      </c>
      <c r="I503" s="368" t="str">
        <f>VLOOKUP(H503,'[2]Source Codes'!A$2:B$115,2,FALSE)</f>
        <v>AR Direct Cash Journal</v>
      </c>
      <c r="J503" s="412">
        <v>1026801</v>
      </c>
      <c r="K503" s="385">
        <v>45464</v>
      </c>
      <c r="L503" s="387" t="s">
        <v>1153</v>
      </c>
      <c r="M503" s="388">
        <v>45464.751817129632</v>
      </c>
      <c r="N503" s="368" t="s">
        <v>356</v>
      </c>
      <c r="O503" s="368" t="s">
        <v>368</v>
      </c>
    </row>
    <row r="504" spans="1:15" ht="12" hidden="1" customHeight="1" outlineLevel="1">
      <c r="B504" s="384">
        <v>2024</v>
      </c>
      <c r="C504" s="384">
        <v>12</v>
      </c>
      <c r="D504" s="367" t="s">
        <v>5</v>
      </c>
      <c r="E504" s="367" t="s">
        <v>6</v>
      </c>
      <c r="F504" s="367" t="s">
        <v>1147</v>
      </c>
      <c r="G504" s="385">
        <v>45455</v>
      </c>
      <c r="H504" s="367" t="s">
        <v>8</v>
      </c>
      <c r="I504" s="368" t="str">
        <f>VLOOKUP(H504,'[2]Source Codes'!A$2:B$115,2,FALSE)</f>
        <v>Prch,Cntrl Mail,Flt,Prntg,Sply</v>
      </c>
      <c r="J504" s="412">
        <v>-2605802.4500000002</v>
      </c>
      <c r="K504" s="385">
        <v>45464</v>
      </c>
      <c r="L504" s="387" t="s">
        <v>1149</v>
      </c>
      <c r="M504" s="388">
        <v>45464.464074074072</v>
      </c>
      <c r="N504" s="368" t="s">
        <v>356</v>
      </c>
      <c r="O504" s="368" t="s">
        <v>382</v>
      </c>
    </row>
    <row r="505" spans="1:15" ht="15" hidden="1" outlineLevel="1">
      <c r="B505" s="384">
        <v>2024</v>
      </c>
      <c r="C505" s="384">
        <v>12</v>
      </c>
      <c r="D505" s="367" t="s">
        <v>5</v>
      </c>
      <c r="E505" s="367" t="s">
        <v>6</v>
      </c>
      <c r="F505" s="367" t="s">
        <v>1148</v>
      </c>
      <c r="G505" s="385">
        <v>45455</v>
      </c>
      <c r="H505" s="367" t="s">
        <v>8</v>
      </c>
      <c r="I505" s="368" t="str">
        <f>VLOOKUP(H505,'[2]Source Codes'!A$2:B$115,2,FALSE)</f>
        <v>Prch,Cntrl Mail,Flt,Prntg,Sply</v>
      </c>
      <c r="J505" s="412">
        <v>-2633287.34</v>
      </c>
      <c r="K505" s="385">
        <v>45464</v>
      </c>
      <c r="L505" s="387" t="s">
        <v>1150</v>
      </c>
      <c r="M505" s="388">
        <v>45464.486944444441</v>
      </c>
      <c r="N505" s="368" t="s">
        <v>356</v>
      </c>
      <c r="O505" s="368" t="s">
        <v>382</v>
      </c>
    </row>
    <row r="506" spans="1:15" ht="12.75" customHeight="1" collapsed="1">
      <c r="J506" s="413">
        <f>SUM(J500:J505)</f>
        <v>2538720.54</v>
      </c>
    </row>
    <row r="508" spans="1:15" ht="12.75" customHeight="1">
      <c r="A508" s="378" t="s">
        <v>1155</v>
      </c>
    </row>
    <row r="509" spans="1:15" ht="30" hidden="1" outlineLevel="1">
      <c r="B509" s="384">
        <v>2024</v>
      </c>
      <c r="C509" s="384">
        <v>12</v>
      </c>
      <c r="D509" s="367" t="s">
        <v>5</v>
      </c>
      <c r="E509" s="367" t="s">
        <v>6</v>
      </c>
      <c r="F509" s="367" t="s">
        <v>1156</v>
      </c>
      <c r="G509" s="385">
        <v>45467</v>
      </c>
      <c r="H509" s="367" t="s">
        <v>14</v>
      </c>
      <c r="I509" s="368" t="str">
        <f>VLOOKUP(H509,'[2]Source Codes'!A$2:B$115,2,FALSE)</f>
        <v>AP Warrant Issuance</v>
      </c>
      <c r="J509" s="412">
        <v>-1698808.8</v>
      </c>
      <c r="K509" s="385">
        <v>45467</v>
      </c>
      <c r="L509" s="387" t="s">
        <v>1160</v>
      </c>
      <c r="M509" s="388">
        <v>45467.793506944443</v>
      </c>
      <c r="N509" s="368" t="s">
        <v>356</v>
      </c>
      <c r="O509" s="368" t="s">
        <v>368</v>
      </c>
    </row>
    <row r="510" spans="1:15" ht="60" hidden="1" outlineLevel="1">
      <c r="B510" s="384">
        <v>2024</v>
      </c>
      <c r="C510" s="384">
        <v>12</v>
      </c>
      <c r="D510" s="367" t="s">
        <v>5</v>
      </c>
      <c r="E510" s="367" t="s">
        <v>6</v>
      </c>
      <c r="F510" s="367" t="s">
        <v>1157</v>
      </c>
      <c r="G510" s="385">
        <v>45467</v>
      </c>
      <c r="H510" s="367" t="s">
        <v>14</v>
      </c>
      <c r="I510" s="368" t="str">
        <f>VLOOKUP(H510,'[2]Source Codes'!A$2:B$115,2,FALSE)</f>
        <v>AP Warrant Issuance</v>
      </c>
      <c r="J510" s="412">
        <v>-1198558.6100000001</v>
      </c>
      <c r="K510" s="385">
        <v>45467</v>
      </c>
      <c r="L510" s="387" t="s">
        <v>1161</v>
      </c>
      <c r="M510" s="388">
        <v>45467.793506944443</v>
      </c>
      <c r="N510" s="368" t="s">
        <v>356</v>
      </c>
      <c r="O510" s="368" t="s">
        <v>364</v>
      </c>
    </row>
    <row r="511" spans="1:15" ht="12.75" hidden="1" customHeight="1" outlineLevel="1">
      <c r="B511" s="384">
        <v>2024</v>
      </c>
      <c r="C511" s="384">
        <v>12</v>
      </c>
      <c r="D511" s="367" t="s">
        <v>5</v>
      </c>
      <c r="E511" s="367" t="s">
        <v>6</v>
      </c>
      <c r="F511" s="367" t="s">
        <v>1158</v>
      </c>
      <c r="G511" s="385">
        <v>45463</v>
      </c>
      <c r="H511" s="367" t="s">
        <v>9</v>
      </c>
      <c r="I511" s="368" t="str">
        <f>VLOOKUP(H511,'[2]Source Codes'!A$2:B$115,2,FALSE)</f>
        <v>On Line Journal Entries</v>
      </c>
      <c r="J511" s="412">
        <v>4340405</v>
      </c>
      <c r="K511" s="385">
        <v>45467</v>
      </c>
      <c r="L511" s="387" t="s">
        <v>1159</v>
      </c>
      <c r="M511" s="388">
        <v>45467.868750000001</v>
      </c>
      <c r="N511" s="368" t="s">
        <v>356</v>
      </c>
      <c r="O511" s="368" t="s">
        <v>369</v>
      </c>
    </row>
    <row r="512" spans="1:15" ht="12.75" customHeight="1" collapsed="1">
      <c r="J512" s="413">
        <f>SUM(J509:J511)</f>
        <v>1443037.5899999999</v>
      </c>
    </row>
    <row r="514" spans="1:15" ht="12.75" customHeight="1">
      <c r="A514" s="378" t="s">
        <v>1164</v>
      </c>
    </row>
    <row r="515" spans="1:15" ht="30" hidden="1" outlineLevel="1">
      <c r="B515" s="384">
        <v>2024</v>
      </c>
      <c r="C515" s="384">
        <v>12</v>
      </c>
      <c r="D515" s="367" t="s">
        <v>5</v>
      </c>
      <c r="E515" s="367" t="s">
        <v>6</v>
      </c>
      <c r="F515" s="367" t="s">
        <v>1165</v>
      </c>
      <c r="G515" s="385">
        <v>45468</v>
      </c>
      <c r="H515" s="367" t="s">
        <v>12</v>
      </c>
      <c r="I515" s="368" t="str">
        <f>VLOOKUP(H515,'[2]Source Codes'!A$2:B$115,2,FALSE)</f>
        <v>AR Direct Cash Journal</v>
      </c>
      <c r="J515" s="412">
        <v>3235699.63</v>
      </c>
      <c r="K515" s="385">
        <v>45468</v>
      </c>
      <c r="L515" s="387" t="s">
        <v>1171</v>
      </c>
      <c r="M515" s="388">
        <v>45468.751898148148</v>
      </c>
      <c r="N515" s="368" t="s">
        <v>356</v>
      </c>
      <c r="O515" s="368" t="s">
        <v>371</v>
      </c>
    </row>
    <row r="516" spans="1:15" ht="30" hidden="1" outlineLevel="1">
      <c r="B516" s="384">
        <v>2024</v>
      </c>
      <c r="C516" s="384">
        <v>12</v>
      </c>
      <c r="D516" s="367" t="s">
        <v>5</v>
      </c>
      <c r="E516" s="367" t="s">
        <v>6</v>
      </c>
      <c r="F516" s="367" t="s">
        <v>1166</v>
      </c>
      <c r="G516" s="385">
        <v>45454</v>
      </c>
      <c r="H516" s="367" t="s">
        <v>9</v>
      </c>
      <c r="I516" s="368" t="str">
        <f>VLOOKUP(H516,'[2]Source Codes'!A$2:B$115,2,FALSE)</f>
        <v>On Line Journal Entries</v>
      </c>
      <c r="J516" s="412">
        <v>2684709</v>
      </c>
      <c r="K516" s="385">
        <v>45468</v>
      </c>
      <c r="L516" s="387" t="s">
        <v>344</v>
      </c>
      <c r="M516" s="388">
        <v>45468.486608796295</v>
      </c>
      <c r="N516" s="368" t="s">
        <v>356</v>
      </c>
      <c r="O516" s="368" t="s">
        <v>364</v>
      </c>
    </row>
    <row r="517" spans="1:15" ht="30" hidden="1" outlineLevel="1">
      <c r="B517" s="384">
        <v>2024</v>
      </c>
      <c r="C517" s="384">
        <v>12</v>
      </c>
      <c r="D517" s="367" t="s">
        <v>5</v>
      </c>
      <c r="E517" s="367" t="s">
        <v>6</v>
      </c>
      <c r="F517" s="367" t="s">
        <v>1167</v>
      </c>
      <c r="G517" s="385">
        <v>45463</v>
      </c>
      <c r="H517" s="367" t="s">
        <v>9</v>
      </c>
      <c r="I517" s="368" t="str">
        <f>VLOOKUP(H517,'[2]Source Codes'!A$2:B$115,2,FALSE)</f>
        <v>On Line Journal Entries</v>
      </c>
      <c r="J517" s="412">
        <v>2259815</v>
      </c>
      <c r="K517" s="385">
        <v>45468</v>
      </c>
      <c r="L517" s="387" t="s">
        <v>1169</v>
      </c>
      <c r="M517" s="388">
        <v>45468.868784722225</v>
      </c>
      <c r="N517" s="368" t="s">
        <v>361</v>
      </c>
      <c r="O517" s="368" t="s">
        <v>380</v>
      </c>
    </row>
    <row r="518" spans="1:15" ht="15" hidden="1" outlineLevel="1">
      <c r="B518" s="384">
        <v>2024</v>
      </c>
      <c r="C518" s="384">
        <v>12</v>
      </c>
      <c r="D518" s="367" t="s">
        <v>5</v>
      </c>
      <c r="E518" s="367" t="s">
        <v>6</v>
      </c>
      <c r="F518" s="367" t="s">
        <v>1168</v>
      </c>
      <c r="G518" s="385">
        <v>45457</v>
      </c>
      <c r="H518" s="367" t="s">
        <v>337</v>
      </c>
      <c r="I518" s="368" t="str">
        <f>VLOOKUP(H518,'[2]Source Codes'!A$2:B$115,2,FALSE)</f>
        <v>Facilities Mngmnt Intfc Jrnls</v>
      </c>
      <c r="J518" s="412">
        <v>1668969.11</v>
      </c>
      <c r="K518" s="385">
        <v>45468</v>
      </c>
      <c r="L518" s="387" t="s">
        <v>1170</v>
      </c>
      <c r="M518" s="388">
        <v>45468.481180555558</v>
      </c>
      <c r="N518" s="368" t="s">
        <v>356</v>
      </c>
      <c r="O518" s="368" t="s">
        <v>367</v>
      </c>
    </row>
    <row r="519" spans="1:15" ht="12.75" customHeight="1" collapsed="1">
      <c r="J519" s="413">
        <f>SUM(J515:J518)</f>
        <v>9849192.7400000002</v>
      </c>
    </row>
    <row r="521" spans="1:15" ht="12.75" customHeight="1">
      <c r="A521" s="378" t="s">
        <v>1172</v>
      </c>
    </row>
    <row r="522" spans="1:15" ht="30" hidden="1" outlineLevel="1">
      <c r="B522" s="384">
        <v>2024</v>
      </c>
      <c r="C522" s="384">
        <v>12</v>
      </c>
      <c r="D522" s="367" t="s">
        <v>5</v>
      </c>
      <c r="E522" s="367" t="s">
        <v>6</v>
      </c>
      <c r="F522" s="367" t="s">
        <v>1173</v>
      </c>
      <c r="G522" s="385">
        <v>45469</v>
      </c>
      <c r="H522" s="367" t="s">
        <v>14</v>
      </c>
      <c r="I522" s="368" t="str">
        <f>VLOOKUP(H522,'[2]Source Codes'!A$2:B$115,2,FALSE)</f>
        <v>AP Warrant Issuance</v>
      </c>
      <c r="J522" s="412">
        <v>-1613828.95</v>
      </c>
      <c r="K522" s="385">
        <v>45469</v>
      </c>
      <c r="L522" s="387" t="s">
        <v>1178</v>
      </c>
      <c r="M522" s="388">
        <v>45469.793414351851</v>
      </c>
      <c r="N522" s="368" t="s">
        <v>356</v>
      </c>
      <c r="O522" s="368" t="s">
        <v>368</v>
      </c>
    </row>
    <row r="523" spans="1:15" ht="30" hidden="1" outlineLevel="1">
      <c r="B523" s="384">
        <v>2024</v>
      </c>
      <c r="C523" s="384">
        <v>12</v>
      </c>
      <c r="D523" s="367" t="s">
        <v>5</v>
      </c>
      <c r="E523" s="367" t="s">
        <v>6</v>
      </c>
      <c r="F523" s="367" t="s">
        <v>1174</v>
      </c>
      <c r="G523" s="385">
        <v>45469</v>
      </c>
      <c r="H523" s="367" t="s">
        <v>12</v>
      </c>
      <c r="I523" s="368" t="str">
        <f>VLOOKUP(H523,'[2]Source Codes'!A$2:B$115,2,FALSE)</f>
        <v>AR Direct Cash Journal</v>
      </c>
      <c r="J523" s="412">
        <v>4272730</v>
      </c>
      <c r="K523" s="385">
        <v>45469</v>
      </c>
      <c r="L523" s="387" t="s">
        <v>1179</v>
      </c>
      <c r="M523" s="388">
        <v>45469.75203703704</v>
      </c>
      <c r="N523" s="368" t="s">
        <v>356</v>
      </c>
      <c r="O523" s="368" t="s">
        <v>362</v>
      </c>
    </row>
    <row r="524" spans="1:15" ht="30" hidden="1" outlineLevel="1">
      <c r="B524" s="384">
        <v>2024</v>
      </c>
      <c r="C524" s="384">
        <v>12</v>
      </c>
      <c r="D524" s="367" t="s">
        <v>5</v>
      </c>
      <c r="E524" s="367" t="s">
        <v>6</v>
      </c>
      <c r="F524" s="367" t="s">
        <v>1175</v>
      </c>
      <c r="G524" s="385">
        <v>45461</v>
      </c>
      <c r="H524" s="367" t="s">
        <v>12</v>
      </c>
      <c r="I524" s="368" t="str">
        <f>VLOOKUP(H524,'[2]Source Codes'!A$2:B$115,2,FALSE)</f>
        <v>AR Direct Cash Journal</v>
      </c>
      <c r="J524" s="412">
        <v>3765777.79</v>
      </c>
      <c r="K524" s="385">
        <v>45469</v>
      </c>
      <c r="L524" s="387" t="s">
        <v>1181</v>
      </c>
      <c r="M524" s="388">
        <v>45469.75203703704</v>
      </c>
      <c r="N524" s="368" t="s">
        <v>360</v>
      </c>
      <c r="O524" s="368" t="s">
        <v>1180</v>
      </c>
    </row>
    <row r="525" spans="1:15" ht="12.75" hidden="1" customHeight="1" outlineLevel="1">
      <c r="B525" s="384">
        <v>2024</v>
      </c>
      <c r="C525" s="384">
        <v>12</v>
      </c>
      <c r="D525" s="367" t="s">
        <v>5</v>
      </c>
      <c r="E525" s="367" t="s">
        <v>6</v>
      </c>
      <c r="F525" s="367" t="s">
        <v>1176</v>
      </c>
      <c r="G525" s="385">
        <v>45469</v>
      </c>
      <c r="H525" s="367" t="s">
        <v>110</v>
      </c>
      <c r="I525" s="368" t="str">
        <f>VLOOKUP(H525,'[2]Source Codes'!A$2:B$115,2,FALSE)</f>
        <v>Treasurers Interest Apportion</v>
      </c>
      <c r="J525" s="412">
        <v>19506200.079999998</v>
      </c>
      <c r="K525" s="385">
        <v>45469</v>
      </c>
      <c r="L525" s="387" t="s">
        <v>1177</v>
      </c>
      <c r="M525" s="388">
        <v>45469.412233796298</v>
      </c>
      <c r="N525" s="368" t="s">
        <v>361</v>
      </c>
      <c r="O525" s="368" t="s">
        <v>371</v>
      </c>
    </row>
    <row r="526" spans="1:15" ht="12.75" customHeight="1" collapsed="1">
      <c r="J526" s="413">
        <f>SUM(J522:J525)</f>
        <v>25930878.919999998</v>
      </c>
    </row>
    <row r="528" spans="1:15" ht="12.75" customHeight="1">
      <c r="A528" s="378" t="s">
        <v>1182</v>
      </c>
    </row>
    <row r="529" spans="1:15" ht="30" hidden="1" outlineLevel="1">
      <c r="B529" s="384">
        <v>2024</v>
      </c>
      <c r="C529" s="384">
        <v>12</v>
      </c>
      <c r="D529" s="367" t="s">
        <v>5</v>
      </c>
      <c r="E529" s="367" t="s">
        <v>6</v>
      </c>
      <c r="F529" s="367" t="s">
        <v>1183</v>
      </c>
      <c r="G529" s="385">
        <v>45470</v>
      </c>
      <c r="H529" s="367" t="s">
        <v>12</v>
      </c>
      <c r="I529" s="368" t="str">
        <f>VLOOKUP(H529,'[2]Source Codes'!A$2:B$115,2,FALSE)</f>
        <v>AR Direct Cash Journal</v>
      </c>
      <c r="J529" s="412">
        <v>6283299.7599999998</v>
      </c>
      <c r="K529" s="385">
        <v>45470</v>
      </c>
      <c r="L529" s="387" t="s">
        <v>898</v>
      </c>
      <c r="M529" s="388">
        <v>45470.752071759256</v>
      </c>
      <c r="N529" s="368" t="s">
        <v>356</v>
      </c>
      <c r="O529" s="368" t="s">
        <v>370</v>
      </c>
    </row>
    <row r="530" spans="1:15" ht="60" hidden="1" outlineLevel="1">
      <c r="B530" s="384">
        <v>2024</v>
      </c>
      <c r="C530" s="384">
        <v>12</v>
      </c>
      <c r="D530" s="367" t="s">
        <v>5</v>
      </c>
      <c r="E530" s="367" t="s">
        <v>6</v>
      </c>
      <c r="F530" s="367" t="s">
        <v>1184</v>
      </c>
      <c r="G530" s="385">
        <v>45468</v>
      </c>
      <c r="H530" s="367" t="s">
        <v>11</v>
      </c>
      <c r="I530" s="368" t="str">
        <f>VLOOKUP(H530,'[2]Source Codes'!A$2:B$115,2,FALSE)</f>
        <v>AR Payments</v>
      </c>
      <c r="J530" s="412">
        <v>2247758.89</v>
      </c>
      <c r="K530" s="385">
        <v>45470</v>
      </c>
      <c r="L530" s="387" t="s">
        <v>1187</v>
      </c>
      <c r="M530" s="388">
        <v>45470.752071759256</v>
      </c>
      <c r="N530" s="368" t="s">
        <v>356</v>
      </c>
      <c r="O530" s="368" t="s">
        <v>357</v>
      </c>
    </row>
    <row r="531" spans="1:15" ht="30" hidden="1" outlineLevel="1">
      <c r="B531" s="384">
        <v>2024</v>
      </c>
      <c r="C531" s="384">
        <v>12</v>
      </c>
      <c r="D531" s="367" t="s">
        <v>5</v>
      </c>
      <c r="E531" s="367" t="s">
        <v>6</v>
      </c>
      <c r="F531" s="367" t="s">
        <v>1185</v>
      </c>
      <c r="G531" s="385">
        <v>45444</v>
      </c>
      <c r="H531" s="367" t="s">
        <v>9</v>
      </c>
      <c r="I531" s="368" t="str">
        <f>VLOOKUP(H531,'[2]Source Codes'!A$2:B$115,2,FALSE)</f>
        <v>On Line Journal Entries</v>
      </c>
      <c r="J531" s="412">
        <v>-4267057.9000000004</v>
      </c>
      <c r="K531" s="385">
        <v>45470</v>
      </c>
      <c r="L531" s="387" t="s">
        <v>1186</v>
      </c>
      <c r="M531" s="388">
        <v>45470.868495370371</v>
      </c>
      <c r="N531" s="368" t="s">
        <v>356</v>
      </c>
      <c r="O531" s="368" t="s">
        <v>374</v>
      </c>
    </row>
    <row r="532" spans="1:15" ht="12.75" customHeight="1" collapsed="1">
      <c r="J532" s="413">
        <f>SUM(J529:J531)</f>
        <v>4264000.75</v>
      </c>
    </row>
    <row r="534" spans="1:15" ht="12.75" customHeight="1">
      <c r="A534" s="378" t="s">
        <v>1188</v>
      </c>
      <c r="J534" s="412"/>
    </row>
    <row r="535" spans="1:15" ht="45" hidden="1" outlineLevel="1">
      <c r="B535" s="384">
        <v>2024</v>
      </c>
      <c r="C535" s="384">
        <v>12</v>
      </c>
      <c r="D535" s="367" t="s">
        <v>5</v>
      </c>
      <c r="E535" s="367" t="s">
        <v>6</v>
      </c>
      <c r="F535" s="367" t="s">
        <v>1189</v>
      </c>
      <c r="G535" s="385">
        <v>45456</v>
      </c>
      <c r="H535" s="367" t="s">
        <v>12</v>
      </c>
      <c r="I535" s="368" t="str">
        <f>VLOOKUP(H535,'[2]Source Codes'!A$2:B$115,2,FALSE)</f>
        <v>AR Direct Cash Journal</v>
      </c>
      <c r="J535" s="412">
        <v>4067570.25</v>
      </c>
      <c r="K535" s="385">
        <v>45471</v>
      </c>
      <c r="L535" s="387" t="s">
        <v>1193</v>
      </c>
      <c r="M535" s="388">
        <v>45471.752233796295</v>
      </c>
      <c r="N535" s="368" t="s">
        <v>356</v>
      </c>
      <c r="O535" s="368" t="s">
        <v>368</v>
      </c>
    </row>
    <row r="536" spans="1:15" ht="30" hidden="1" outlineLevel="1">
      <c r="B536" s="384">
        <v>2024</v>
      </c>
      <c r="C536" s="384">
        <v>12</v>
      </c>
      <c r="D536" s="367" t="s">
        <v>5</v>
      </c>
      <c r="E536" s="367" t="s">
        <v>6</v>
      </c>
      <c r="F536" s="367" t="s">
        <v>1190</v>
      </c>
      <c r="G536" s="385">
        <v>45471</v>
      </c>
      <c r="H536" s="367" t="s">
        <v>11</v>
      </c>
      <c r="I536" s="368" t="str">
        <f>VLOOKUP(H536,'[2]Source Codes'!A$2:B$115,2,FALSE)</f>
        <v>AR Payments</v>
      </c>
      <c r="J536" s="412">
        <v>3740991.36</v>
      </c>
      <c r="K536" s="385">
        <v>45471</v>
      </c>
      <c r="L536" s="387" t="s">
        <v>398</v>
      </c>
      <c r="M536" s="388">
        <v>45471.752233796295</v>
      </c>
      <c r="N536" s="368" t="s">
        <v>356</v>
      </c>
      <c r="O536" s="368" t="s">
        <v>357</v>
      </c>
    </row>
    <row r="537" spans="1:15" ht="45" hidden="1" outlineLevel="1">
      <c r="B537" s="384">
        <v>2024</v>
      </c>
      <c r="C537" s="384">
        <v>12</v>
      </c>
      <c r="D537" s="367" t="s">
        <v>5</v>
      </c>
      <c r="E537" s="367" t="s">
        <v>6</v>
      </c>
      <c r="F537" s="367" t="s">
        <v>1191</v>
      </c>
      <c r="G537" s="385">
        <v>45469</v>
      </c>
      <c r="H537" s="367" t="s">
        <v>12</v>
      </c>
      <c r="I537" s="368" t="str">
        <f>VLOOKUP(H537,'[2]Source Codes'!A$2:B$115,2,FALSE)</f>
        <v>AR Direct Cash Journal</v>
      </c>
      <c r="J537" s="412">
        <v>2382681.52</v>
      </c>
      <c r="K537" s="385">
        <v>45471</v>
      </c>
      <c r="L537" s="387" t="s">
        <v>1194</v>
      </c>
      <c r="M537" s="388">
        <v>45471.752233796295</v>
      </c>
      <c r="N537" s="368" t="s">
        <v>356</v>
      </c>
      <c r="O537" s="368" t="s">
        <v>368</v>
      </c>
    </row>
    <row r="538" spans="1:15" ht="30" hidden="1" outlineLevel="1">
      <c r="B538" s="384">
        <v>2024</v>
      </c>
      <c r="C538" s="384">
        <v>12</v>
      </c>
      <c r="D538" s="367" t="s">
        <v>5</v>
      </c>
      <c r="E538" s="367" t="s">
        <v>6</v>
      </c>
      <c r="F538" s="367" t="s">
        <v>1192</v>
      </c>
      <c r="G538" s="385">
        <v>45463</v>
      </c>
      <c r="H538" s="367" t="s">
        <v>11</v>
      </c>
      <c r="I538" s="368" t="str">
        <f>VLOOKUP(H538,'[2]Source Codes'!A$2:B$115,2,FALSE)</f>
        <v>AR Payments</v>
      </c>
      <c r="J538" s="412">
        <v>1225746.48</v>
      </c>
      <c r="K538" s="385">
        <v>45471</v>
      </c>
      <c r="L538" s="387" t="s">
        <v>1195</v>
      </c>
      <c r="M538" s="388">
        <v>45471.752233796295</v>
      </c>
      <c r="N538" s="368" t="s">
        <v>356</v>
      </c>
      <c r="O538" s="368" t="s">
        <v>357</v>
      </c>
    </row>
    <row r="539" spans="1:15" ht="12.75" customHeight="1" collapsed="1">
      <c r="J539" s="413">
        <f>SUM(J535:J538)</f>
        <v>11416989.609999999</v>
      </c>
    </row>
    <row r="541" spans="1:15" ht="12.75" customHeight="1">
      <c r="A541" s="378" t="s">
        <v>1196</v>
      </c>
    </row>
    <row r="542" spans="1:15" ht="12.75" hidden="1" customHeight="1" outlineLevel="1">
      <c r="B542" s="384">
        <v>2024</v>
      </c>
      <c r="C542" s="384">
        <v>12</v>
      </c>
      <c r="D542" s="367" t="s">
        <v>5</v>
      </c>
      <c r="E542" s="367" t="s">
        <v>6</v>
      </c>
      <c r="F542" s="367" t="s">
        <v>1197</v>
      </c>
      <c r="G542" s="385">
        <v>45470</v>
      </c>
      <c r="H542" s="367" t="s">
        <v>7</v>
      </c>
      <c r="I542" s="368" t="str">
        <f>VLOOKUP(H542,'[2]Source Codes'!A$2:B$115,2,FALSE)</f>
        <v>HRMS Interface Journals</v>
      </c>
      <c r="J542" s="412">
        <v>-1300330.8500000001</v>
      </c>
      <c r="K542" s="385">
        <v>45474</v>
      </c>
      <c r="L542" s="387" t="s">
        <v>348</v>
      </c>
      <c r="M542" s="388">
        <v>45474.392129629632</v>
      </c>
      <c r="N542" s="368" t="s">
        <v>378</v>
      </c>
      <c r="O542" s="368" t="s">
        <v>379</v>
      </c>
    </row>
    <row r="543" spans="1:15" ht="12.75" hidden="1" customHeight="1" outlineLevel="1">
      <c r="B543" s="384">
        <v>2024</v>
      </c>
      <c r="C543" s="384">
        <v>12</v>
      </c>
      <c r="D543" s="367" t="s">
        <v>5</v>
      </c>
      <c r="E543" s="367" t="s">
        <v>6</v>
      </c>
      <c r="F543" s="367" t="s">
        <v>1198</v>
      </c>
      <c r="G543" s="385">
        <v>45470</v>
      </c>
      <c r="H543" s="367" t="s">
        <v>337</v>
      </c>
      <c r="I543" s="368" t="str">
        <f>VLOOKUP(H543,'[2]Source Codes'!A$2:B$115,2,FALSE)</f>
        <v>Facilities Mngmnt Intfc Jrnls</v>
      </c>
      <c r="J543" s="412">
        <v>-1324165</v>
      </c>
      <c r="K543" s="385">
        <v>45474</v>
      </c>
      <c r="L543" s="387" t="s">
        <v>1201</v>
      </c>
      <c r="M543" s="388">
        <v>45474.869432870371</v>
      </c>
      <c r="N543" s="368" t="s">
        <v>356</v>
      </c>
      <c r="O543" s="368" t="s">
        <v>367</v>
      </c>
    </row>
    <row r="544" spans="1:15" ht="12.75" hidden="1" customHeight="1" outlineLevel="1">
      <c r="B544" s="384">
        <v>2024</v>
      </c>
      <c r="C544" s="384">
        <v>12</v>
      </c>
      <c r="D544" s="367" t="s">
        <v>5</v>
      </c>
      <c r="E544" s="367" t="s">
        <v>6</v>
      </c>
      <c r="F544" s="367" t="s">
        <v>1199</v>
      </c>
      <c r="G544" s="385">
        <v>45469</v>
      </c>
      <c r="H544" s="367" t="s">
        <v>7</v>
      </c>
      <c r="I544" s="368" t="str">
        <f>VLOOKUP(H544,'[2]Source Codes'!A$2:B$115,2,FALSE)</f>
        <v>HRMS Interface Journals</v>
      </c>
      <c r="J544" s="412">
        <v>-2400270.92</v>
      </c>
      <c r="K544" s="385">
        <v>45474</v>
      </c>
      <c r="L544" s="387" t="s">
        <v>350</v>
      </c>
      <c r="M544" s="388">
        <v>45474.424340277779</v>
      </c>
      <c r="N544" s="368" t="s">
        <v>378</v>
      </c>
      <c r="O544" s="368" t="s">
        <v>379</v>
      </c>
    </row>
    <row r="545" spans="1:15" ht="12.75" hidden="1" customHeight="1" outlineLevel="1">
      <c r="B545" s="384">
        <v>2024</v>
      </c>
      <c r="C545" s="384">
        <v>12</v>
      </c>
      <c r="D545" s="367" t="s">
        <v>5</v>
      </c>
      <c r="E545" s="367" t="s">
        <v>6</v>
      </c>
      <c r="F545" s="367" t="s">
        <v>1200</v>
      </c>
      <c r="G545" s="385">
        <v>45469</v>
      </c>
      <c r="H545" s="367" t="s">
        <v>7</v>
      </c>
      <c r="I545" s="368" t="str">
        <f>VLOOKUP(H545,'[2]Source Codes'!A$2:B$115,2,FALSE)</f>
        <v>HRMS Interface Journals</v>
      </c>
      <c r="J545" s="412">
        <v>-16806122.719999999</v>
      </c>
      <c r="K545" s="385">
        <v>45474</v>
      </c>
      <c r="L545" s="387" t="s">
        <v>349</v>
      </c>
      <c r="M545" s="388">
        <v>45474.399780092594</v>
      </c>
      <c r="N545" s="368" t="s">
        <v>378</v>
      </c>
      <c r="O545" s="368" t="s">
        <v>379</v>
      </c>
    </row>
    <row r="546" spans="1:15" ht="12.75" customHeight="1" collapsed="1">
      <c r="J546" s="413">
        <f>SUM(J542:J545)</f>
        <v>-21830889.489999998</v>
      </c>
    </row>
    <row r="548" spans="1:15" ht="12.75" customHeight="1">
      <c r="A548" s="378" t="s">
        <v>1202</v>
      </c>
    </row>
    <row r="549" spans="1:15" ht="60" hidden="1" outlineLevel="1">
      <c r="B549" s="384">
        <v>2025</v>
      </c>
      <c r="C549" s="384">
        <v>1</v>
      </c>
      <c r="D549" s="367" t="s">
        <v>5</v>
      </c>
      <c r="E549" s="367" t="s">
        <v>6</v>
      </c>
      <c r="F549" s="367" t="s">
        <v>1203</v>
      </c>
      <c r="G549" s="385">
        <v>45474</v>
      </c>
      <c r="H549" s="367" t="s">
        <v>11</v>
      </c>
      <c r="I549" s="368" t="str">
        <f>VLOOKUP(H549,'[2]Source Codes'!A$2:B$115,2,FALSE)</f>
        <v>AR Payments</v>
      </c>
      <c r="J549" s="412">
        <v>3167242.38</v>
      </c>
      <c r="K549" s="385">
        <v>45475</v>
      </c>
      <c r="L549" s="387" t="s">
        <v>1207</v>
      </c>
      <c r="M549" s="388">
        <v>45475.751805555556</v>
      </c>
      <c r="N549" s="368" t="s">
        <v>356</v>
      </c>
      <c r="O549" s="368" t="s">
        <v>357</v>
      </c>
    </row>
    <row r="550" spans="1:15" ht="30" hidden="1" outlineLevel="1">
      <c r="B550" s="384">
        <v>2025</v>
      </c>
      <c r="C550" s="384">
        <v>1</v>
      </c>
      <c r="D550" s="367" t="s">
        <v>5</v>
      </c>
      <c r="E550" s="367" t="s">
        <v>6</v>
      </c>
      <c r="F550" s="367" t="s">
        <v>1204</v>
      </c>
      <c r="G550" s="385">
        <v>45475</v>
      </c>
      <c r="H550" s="367" t="s">
        <v>11</v>
      </c>
      <c r="I550" s="368" t="str">
        <f>VLOOKUP(H550,'[2]Source Codes'!A$2:B$115,2,FALSE)</f>
        <v>AR Payments</v>
      </c>
      <c r="J550" s="412">
        <v>1243697.67</v>
      </c>
      <c r="K550" s="385">
        <v>45475</v>
      </c>
      <c r="L550" s="387" t="s">
        <v>505</v>
      </c>
      <c r="M550" s="388">
        <v>45475.751805555556</v>
      </c>
      <c r="N550" s="368" t="s">
        <v>356</v>
      </c>
      <c r="O550" s="368" t="s">
        <v>357</v>
      </c>
    </row>
    <row r="551" spans="1:15" ht="15" hidden="1" outlineLevel="1">
      <c r="B551" s="384">
        <v>2024</v>
      </c>
      <c r="C551" s="384">
        <v>12</v>
      </c>
      <c r="D551" s="367" t="s">
        <v>5</v>
      </c>
      <c r="E551" s="367" t="s">
        <v>6</v>
      </c>
      <c r="F551" s="367" t="s">
        <v>1205</v>
      </c>
      <c r="G551" s="385">
        <v>45469</v>
      </c>
      <c r="H551" s="367" t="s">
        <v>9</v>
      </c>
      <c r="I551" s="368" t="str">
        <f>VLOOKUP(H551,'[2]Source Codes'!A$2:B$115,2,FALSE)</f>
        <v>On Line Journal Entries</v>
      </c>
      <c r="J551" s="412">
        <v>1876066.48</v>
      </c>
      <c r="K551" s="385">
        <v>45475</v>
      </c>
      <c r="L551" s="387" t="s">
        <v>1208</v>
      </c>
      <c r="M551" s="388">
        <v>45475.869537037041</v>
      </c>
      <c r="N551" s="368" t="s">
        <v>506</v>
      </c>
      <c r="O551" s="368" t="s">
        <v>358</v>
      </c>
    </row>
    <row r="552" spans="1:15" ht="30" hidden="1" outlineLevel="1">
      <c r="B552" s="384">
        <v>2025</v>
      </c>
      <c r="C552" s="384">
        <v>1</v>
      </c>
      <c r="D552" s="367" t="s">
        <v>5</v>
      </c>
      <c r="E552" s="367" t="s">
        <v>6</v>
      </c>
      <c r="F552" s="367" t="s">
        <v>1206</v>
      </c>
      <c r="G552" s="385">
        <v>45474</v>
      </c>
      <c r="H552" s="367" t="s">
        <v>9</v>
      </c>
      <c r="I552" s="368" t="str">
        <f>VLOOKUP(H552,'[2]Source Codes'!A$2:B$115,2,FALSE)</f>
        <v>On Line Journal Entries</v>
      </c>
      <c r="J552" s="412">
        <v>-107679261.06999999</v>
      </c>
      <c r="K552" s="385">
        <v>45475</v>
      </c>
      <c r="L552" s="387" t="s">
        <v>1209</v>
      </c>
      <c r="M552" s="388">
        <v>45475.869537037041</v>
      </c>
      <c r="N552" s="368" t="s">
        <v>506</v>
      </c>
      <c r="O552" s="368" t="s">
        <v>371</v>
      </c>
    </row>
    <row r="553" spans="1:15" ht="12.75" customHeight="1" collapsed="1">
      <c r="J553" s="413">
        <f>SUM(J549:J552)</f>
        <v>-101392254.53999999</v>
      </c>
      <c r="L553" s="387"/>
    </row>
    <row r="555" spans="1:15" ht="12.75" customHeight="1">
      <c r="A555" s="378" t="s">
        <v>1210</v>
      </c>
    </row>
    <row r="556" spans="1:15" ht="12.75" hidden="1" customHeight="1" outlineLevel="1">
      <c r="B556" s="384">
        <v>2024</v>
      </c>
      <c r="C556" s="384">
        <v>12</v>
      </c>
      <c r="D556" s="367" t="s">
        <v>5</v>
      </c>
      <c r="E556" s="367" t="s">
        <v>6</v>
      </c>
      <c r="F556" s="367" t="s">
        <v>1211</v>
      </c>
      <c r="G556" s="385">
        <v>45469</v>
      </c>
      <c r="H556" s="367" t="s">
        <v>7</v>
      </c>
      <c r="I556" s="368" t="str">
        <f>VLOOKUP(H556,'[2]Source Codes'!A$2:B$115,2,FALSE)</f>
        <v>HRMS Interface Journals</v>
      </c>
      <c r="J556" s="412">
        <v>-67099376.770000003</v>
      </c>
      <c r="K556" s="385">
        <v>45476</v>
      </c>
      <c r="L556" s="387" t="s">
        <v>348</v>
      </c>
      <c r="M556" s="388">
        <v>45476.338043981479</v>
      </c>
      <c r="N556" s="368" t="s">
        <v>378</v>
      </c>
      <c r="O556" s="368" t="s">
        <v>379</v>
      </c>
    </row>
    <row r="557" spans="1:15" ht="45" hidden="1" outlineLevel="1">
      <c r="B557" s="384">
        <v>2024</v>
      </c>
      <c r="C557" s="384">
        <v>12</v>
      </c>
      <c r="D557" s="367" t="s">
        <v>5</v>
      </c>
      <c r="E557" s="367" t="s">
        <v>6</v>
      </c>
      <c r="F557" s="367" t="s">
        <v>1212</v>
      </c>
      <c r="G557" s="385">
        <v>45464</v>
      </c>
      <c r="H557" s="367" t="s">
        <v>9</v>
      </c>
      <c r="I557" s="368" t="str">
        <f>VLOOKUP(H557,'[2]Source Codes'!A$2:B$115,2,FALSE)</f>
        <v>On Line Journal Entries</v>
      </c>
      <c r="J557" s="412">
        <v>-6660875</v>
      </c>
      <c r="K557" s="385">
        <v>45476</v>
      </c>
      <c r="L557" s="387" t="s">
        <v>1214</v>
      </c>
      <c r="M557" s="388">
        <v>45476.868831018517</v>
      </c>
      <c r="N557" s="368" t="s">
        <v>360</v>
      </c>
      <c r="O557" s="368" t="s">
        <v>368</v>
      </c>
    </row>
    <row r="558" spans="1:15" ht="45" hidden="1" outlineLevel="1">
      <c r="B558" s="384">
        <v>2024</v>
      </c>
      <c r="C558" s="384">
        <v>12</v>
      </c>
      <c r="D558" s="367" t="s">
        <v>5</v>
      </c>
      <c r="E558" s="367" t="s">
        <v>6</v>
      </c>
      <c r="F558" s="367" t="s">
        <v>1213</v>
      </c>
      <c r="G558" s="385">
        <v>45464</v>
      </c>
      <c r="H558" s="367" t="s">
        <v>9</v>
      </c>
      <c r="I558" s="368" t="str">
        <f>VLOOKUP(H558,'[2]Source Codes'!A$2:B$115,2,FALSE)</f>
        <v>On Line Journal Entries</v>
      </c>
      <c r="J558" s="412">
        <v>-6660875</v>
      </c>
      <c r="K558" s="385">
        <v>45476</v>
      </c>
      <c r="L558" s="387" t="s">
        <v>1215</v>
      </c>
      <c r="M558" s="388">
        <v>45476.868831018517</v>
      </c>
      <c r="N558" s="368" t="s">
        <v>360</v>
      </c>
      <c r="O558" s="368" t="s">
        <v>368</v>
      </c>
    </row>
    <row r="559" spans="1:15" ht="12.75" customHeight="1" collapsed="1">
      <c r="J559" s="413">
        <f>SUM(J556:J558)</f>
        <v>-80421126.770000011</v>
      </c>
    </row>
    <row r="561" spans="1:15" ht="12.75" customHeight="1">
      <c r="A561" s="378" t="s">
        <v>1216</v>
      </c>
    </row>
    <row r="562" spans="1:15" ht="30" hidden="1" outlineLevel="1">
      <c r="B562" s="384">
        <v>2025</v>
      </c>
      <c r="C562" s="384">
        <v>1</v>
      </c>
      <c r="D562" s="367" t="s">
        <v>5</v>
      </c>
      <c r="E562" s="367" t="s">
        <v>6</v>
      </c>
      <c r="F562" s="367" t="s">
        <v>1217</v>
      </c>
      <c r="G562" s="385">
        <v>45478</v>
      </c>
      <c r="H562" s="367" t="s">
        <v>12</v>
      </c>
      <c r="I562" s="368" t="str">
        <f>VLOOKUP(H562,'[2]Source Codes'!A$2:B$115,2,FALSE)</f>
        <v>AR Direct Cash Journal</v>
      </c>
      <c r="J562" s="412">
        <v>4087378.24</v>
      </c>
      <c r="K562" s="385">
        <v>45478</v>
      </c>
      <c r="L562" s="387" t="s">
        <v>1220</v>
      </c>
      <c r="M562" s="388">
        <v>45478.751539351855</v>
      </c>
      <c r="N562" s="368" t="s">
        <v>356</v>
      </c>
      <c r="O562" s="368" t="s">
        <v>370</v>
      </c>
    </row>
    <row r="563" spans="1:15" ht="30" hidden="1" outlineLevel="1">
      <c r="B563" s="384">
        <v>2024</v>
      </c>
      <c r="C563" s="384">
        <v>12</v>
      </c>
      <c r="D563" s="367" t="s">
        <v>5</v>
      </c>
      <c r="E563" s="367" t="s">
        <v>6</v>
      </c>
      <c r="F563" s="367" t="s">
        <v>1218</v>
      </c>
      <c r="G563" s="385">
        <v>45473</v>
      </c>
      <c r="H563" s="367" t="s">
        <v>8</v>
      </c>
      <c r="I563" s="368" t="str">
        <f>VLOOKUP(H563,'[2]Source Codes'!A$2:B$115,2,FALSE)</f>
        <v>Prch,Cntrl Mail,Flt,Prntg,Sply</v>
      </c>
      <c r="J563" s="412">
        <v>2633287.34</v>
      </c>
      <c r="K563" s="385">
        <v>45478</v>
      </c>
      <c r="L563" s="387" t="s">
        <v>1219</v>
      </c>
      <c r="M563" s="388">
        <v>45478.487430555557</v>
      </c>
      <c r="N563" s="368" t="s">
        <v>360</v>
      </c>
      <c r="O563" s="368" t="s">
        <v>382</v>
      </c>
    </row>
    <row r="564" spans="1:15" ht="12.75" customHeight="1" collapsed="1">
      <c r="J564" s="413">
        <f>SUM(J562:J563)</f>
        <v>6720665.5800000001</v>
      </c>
    </row>
    <row r="566" spans="1:15" ht="12.75" customHeight="1">
      <c r="A566" s="378" t="s">
        <v>1221</v>
      </c>
    </row>
    <row r="567" spans="1:15" ht="30" hidden="1" outlineLevel="1">
      <c r="B567" s="384">
        <v>2024</v>
      </c>
      <c r="C567" s="384">
        <v>12</v>
      </c>
      <c r="D567" s="367" t="s">
        <v>5</v>
      </c>
      <c r="E567" s="367" t="s">
        <v>6</v>
      </c>
      <c r="F567" s="367" t="s">
        <v>1222</v>
      </c>
      <c r="G567" s="385">
        <v>45473</v>
      </c>
      <c r="H567" s="367" t="s">
        <v>9</v>
      </c>
      <c r="I567" s="368" t="str">
        <f>VLOOKUP(H567,'[2]Source Codes'!A$2:B$115,2,FALSE)</f>
        <v>On Line Journal Entries</v>
      </c>
      <c r="J567" s="412">
        <v>12511969.029999999</v>
      </c>
      <c r="K567" s="385">
        <v>45481</v>
      </c>
      <c r="L567" s="387" t="s">
        <v>344</v>
      </c>
      <c r="M567" s="388">
        <v>45481.868993055556</v>
      </c>
      <c r="N567" s="368" t="s">
        <v>356</v>
      </c>
      <c r="O567" s="368" t="s">
        <v>364</v>
      </c>
    </row>
    <row r="568" spans="1:15" ht="30" hidden="1" outlineLevel="1">
      <c r="B568" s="384">
        <v>2024</v>
      </c>
      <c r="C568" s="384">
        <v>12</v>
      </c>
      <c r="D568" s="367" t="s">
        <v>5</v>
      </c>
      <c r="E568" s="367" t="s">
        <v>6</v>
      </c>
      <c r="F568" s="367" t="s">
        <v>1223</v>
      </c>
      <c r="G568" s="385">
        <v>45468</v>
      </c>
      <c r="H568" s="367" t="s">
        <v>9</v>
      </c>
      <c r="I568" s="368" t="str">
        <f>VLOOKUP(H568,'[2]Source Codes'!A$2:B$115,2,FALSE)</f>
        <v>On Line Journal Entries</v>
      </c>
      <c r="J568" s="412">
        <v>9521230.0999999996</v>
      </c>
      <c r="K568" s="385">
        <v>45481</v>
      </c>
      <c r="L568" s="387" t="s">
        <v>344</v>
      </c>
      <c r="M568" s="388">
        <v>45481.868993055556</v>
      </c>
      <c r="N568" s="368" t="s">
        <v>356</v>
      </c>
      <c r="O568" s="368" t="s">
        <v>364</v>
      </c>
    </row>
    <row r="569" spans="1:15" ht="30" hidden="1" outlineLevel="1">
      <c r="B569" s="384">
        <v>2024</v>
      </c>
      <c r="C569" s="384">
        <v>12</v>
      </c>
      <c r="D569" s="367" t="s">
        <v>5</v>
      </c>
      <c r="E569" s="367" t="s">
        <v>6</v>
      </c>
      <c r="F569" s="367" t="s">
        <v>1224</v>
      </c>
      <c r="G569" s="385">
        <v>45473</v>
      </c>
      <c r="H569" s="367" t="s">
        <v>9</v>
      </c>
      <c r="I569" s="368" t="str">
        <f>VLOOKUP(H569,'[2]Source Codes'!A$2:B$115,2,FALSE)</f>
        <v>On Line Journal Entries</v>
      </c>
      <c r="J569" s="412">
        <v>8067003</v>
      </c>
      <c r="K569" s="385">
        <v>45481</v>
      </c>
      <c r="L569" s="387" t="s">
        <v>344</v>
      </c>
      <c r="M569" s="388">
        <v>45481.868993055556</v>
      </c>
      <c r="N569" s="368" t="s">
        <v>356</v>
      </c>
      <c r="O569" s="368" t="s">
        <v>364</v>
      </c>
    </row>
    <row r="570" spans="1:15" ht="30" hidden="1" outlineLevel="1">
      <c r="B570" s="384">
        <v>2024</v>
      </c>
      <c r="C570" s="384">
        <v>12</v>
      </c>
      <c r="D570" s="367" t="s">
        <v>5</v>
      </c>
      <c r="E570" s="367" t="s">
        <v>6</v>
      </c>
      <c r="F570" s="367" t="s">
        <v>1225</v>
      </c>
      <c r="G570" s="385">
        <v>45473</v>
      </c>
      <c r="H570" s="367" t="s">
        <v>9</v>
      </c>
      <c r="I570" s="368" t="str">
        <f>VLOOKUP(H570,'[2]Source Codes'!A$2:B$115,2,FALSE)</f>
        <v>On Line Journal Entries</v>
      </c>
      <c r="J570" s="412">
        <v>5240058</v>
      </c>
      <c r="K570" s="385">
        <v>45481</v>
      </c>
      <c r="L570" s="387" t="s">
        <v>334</v>
      </c>
      <c r="M570" s="388">
        <v>45481.868993055556</v>
      </c>
      <c r="N570" s="368" t="s">
        <v>356</v>
      </c>
      <c r="O570" s="368" t="s">
        <v>364</v>
      </c>
    </row>
    <row r="571" spans="1:15" ht="60" hidden="1" outlineLevel="1">
      <c r="B571" s="384">
        <v>2024</v>
      </c>
      <c r="C571" s="384">
        <v>12</v>
      </c>
      <c r="D571" s="367" t="s">
        <v>5</v>
      </c>
      <c r="E571" s="367" t="s">
        <v>6</v>
      </c>
      <c r="F571" s="367" t="s">
        <v>1226</v>
      </c>
      <c r="G571" s="385">
        <v>45470</v>
      </c>
      <c r="H571" s="367" t="s">
        <v>9</v>
      </c>
      <c r="I571" s="368" t="str">
        <f>VLOOKUP(H571,'[2]Source Codes'!A$2:B$115,2,FALSE)</f>
        <v>On Line Journal Entries</v>
      </c>
      <c r="J571" s="412">
        <v>3189365.61</v>
      </c>
      <c r="K571" s="385">
        <v>45481</v>
      </c>
      <c r="L571" s="387" t="s">
        <v>347</v>
      </c>
      <c r="M571" s="388">
        <v>45481.868993055556</v>
      </c>
      <c r="N571" s="368" t="s">
        <v>356</v>
      </c>
      <c r="O571" s="368" t="s">
        <v>364</v>
      </c>
    </row>
    <row r="572" spans="1:15" ht="30" hidden="1" outlineLevel="1">
      <c r="B572" s="384">
        <v>2024</v>
      </c>
      <c r="C572" s="384">
        <v>12</v>
      </c>
      <c r="D572" s="367" t="s">
        <v>5</v>
      </c>
      <c r="E572" s="367" t="s">
        <v>6</v>
      </c>
      <c r="F572" s="367" t="s">
        <v>1227</v>
      </c>
      <c r="G572" s="385">
        <v>45471</v>
      </c>
      <c r="H572" s="367" t="s">
        <v>9</v>
      </c>
      <c r="I572" s="368" t="str">
        <f>VLOOKUP(H572,'[2]Source Codes'!A$2:B$115,2,FALSE)</f>
        <v>On Line Journal Entries</v>
      </c>
      <c r="J572" s="412">
        <v>1832222</v>
      </c>
      <c r="K572" s="385">
        <v>45481</v>
      </c>
      <c r="L572" s="387" t="s">
        <v>344</v>
      </c>
      <c r="M572" s="388">
        <v>45481.868993055556</v>
      </c>
      <c r="N572" s="368" t="s">
        <v>356</v>
      </c>
      <c r="O572" s="368" t="s">
        <v>364</v>
      </c>
    </row>
    <row r="573" spans="1:15" ht="75" hidden="1" outlineLevel="1">
      <c r="B573" s="384">
        <v>2024</v>
      </c>
      <c r="C573" s="384">
        <v>12</v>
      </c>
      <c r="D573" s="367" t="s">
        <v>5</v>
      </c>
      <c r="E573" s="367" t="s">
        <v>6</v>
      </c>
      <c r="F573" s="367" t="s">
        <v>1233</v>
      </c>
      <c r="G573" s="385">
        <v>45473</v>
      </c>
      <c r="H573" s="367" t="s">
        <v>9</v>
      </c>
      <c r="I573" s="368" t="str">
        <f>VLOOKUP(H573,'[2]Source Codes'!A$2:B$115,2,FALSE)</f>
        <v>On Line Journal Entries</v>
      </c>
      <c r="J573" s="412">
        <v>1457800</v>
      </c>
      <c r="K573" s="385">
        <v>45481</v>
      </c>
      <c r="L573" s="387" t="s">
        <v>1228</v>
      </c>
      <c r="M573" s="388">
        <v>45481.868993055556</v>
      </c>
      <c r="N573" s="368" t="s">
        <v>356</v>
      </c>
      <c r="O573" s="368" t="s">
        <v>364</v>
      </c>
    </row>
    <row r="574" spans="1:15" ht="15" hidden="1" outlineLevel="1">
      <c r="B574" s="384">
        <v>2025</v>
      </c>
      <c r="C574" s="384">
        <v>1</v>
      </c>
      <c r="D574" s="367" t="s">
        <v>5</v>
      </c>
      <c r="E574" s="367" t="s">
        <v>6</v>
      </c>
      <c r="F574" s="367" t="s">
        <v>1229</v>
      </c>
      <c r="G574" s="385">
        <v>45474</v>
      </c>
      <c r="H574" s="367" t="s">
        <v>13</v>
      </c>
      <c r="I574" s="368" t="str">
        <f>VLOOKUP(H574,'[2]Source Codes'!A$2:B$115,2,FALSE)</f>
        <v>C-IV Voucher/Payments/EBT</v>
      </c>
      <c r="J574" s="412">
        <v>-11184259.92</v>
      </c>
      <c r="K574" s="385">
        <v>45481</v>
      </c>
      <c r="L574" s="387" t="s">
        <v>1231</v>
      </c>
      <c r="M574" s="388">
        <v>45481.869016203702</v>
      </c>
      <c r="N574" s="368" t="s">
        <v>356</v>
      </c>
      <c r="O574" s="368" t="s">
        <v>364</v>
      </c>
    </row>
    <row r="575" spans="1:15" ht="15" hidden="1" outlineLevel="1">
      <c r="B575" s="384">
        <v>2025</v>
      </c>
      <c r="C575" s="384">
        <v>1</v>
      </c>
      <c r="D575" s="367" t="s">
        <v>5</v>
      </c>
      <c r="E575" s="367" t="s">
        <v>6</v>
      </c>
      <c r="F575" s="367" t="s">
        <v>1230</v>
      </c>
      <c r="G575" s="385">
        <v>45474</v>
      </c>
      <c r="H575" s="367" t="s">
        <v>13</v>
      </c>
      <c r="I575" s="368" t="str">
        <f>VLOOKUP(H575,'[2]Source Codes'!A$2:B$115,2,FALSE)</f>
        <v>C-IV Voucher/Payments/EBT</v>
      </c>
      <c r="J575" s="412">
        <v>-16714474.59</v>
      </c>
      <c r="K575" s="385">
        <v>45481</v>
      </c>
      <c r="L575" s="387" t="s">
        <v>1232</v>
      </c>
      <c r="M575" s="388">
        <v>45481.869016203702</v>
      </c>
      <c r="N575" s="368" t="s">
        <v>356</v>
      </c>
      <c r="O575" s="368" t="s">
        <v>364</v>
      </c>
    </row>
    <row r="576" spans="1:15" ht="12.75" customHeight="1" collapsed="1">
      <c r="J576" s="413">
        <f>SUM(J567:J575)</f>
        <v>13920913.229999993</v>
      </c>
    </row>
    <row r="578" spans="1:15" ht="12.75" customHeight="1">
      <c r="A578" s="378" t="s">
        <v>1234</v>
      </c>
    </row>
    <row r="579" spans="1:15" ht="30" hidden="1" outlineLevel="1">
      <c r="B579" s="384">
        <v>2025</v>
      </c>
      <c r="C579" s="384">
        <v>1</v>
      </c>
      <c r="D579" s="367" t="s">
        <v>5</v>
      </c>
      <c r="E579" s="367" t="s">
        <v>6</v>
      </c>
      <c r="F579" s="367" t="s">
        <v>1235</v>
      </c>
      <c r="G579" s="385">
        <v>45476</v>
      </c>
      <c r="H579" s="367" t="s">
        <v>11</v>
      </c>
      <c r="I579" s="368" t="str">
        <f>VLOOKUP(H579,'[2]Source Codes'!A$2:B$115,2,FALSE)</f>
        <v>AR Payments</v>
      </c>
      <c r="J579" s="412">
        <v>1296556.97</v>
      </c>
      <c r="K579" s="385">
        <v>45482</v>
      </c>
      <c r="L579" s="387" t="s">
        <v>505</v>
      </c>
      <c r="M579" s="388">
        <v>45482.751944444448</v>
      </c>
      <c r="N579" s="368" t="s">
        <v>356</v>
      </c>
      <c r="O579" s="368" t="s">
        <v>357</v>
      </c>
    </row>
    <row r="580" spans="1:15" ht="12.75" hidden="1" customHeight="1" outlineLevel="1">
      <c r="B580" s="384">
        <v>2024</v>
      </c>
      <c r="C580" s="384">
        <v>12</v>
      </c>
      <c r="D580" s="367" t="s">
        <v>5</v>
      </c>
      <c r="E580" s="367" t="s">
        <v>6</v>
      </c>
      <c r="F580" s="367" t="s">
        <v>1236</v>
      </c>
      <c r="G580" s="385">
        <v>45473</v>
      </c>
      <c r="H580" s="367" t="s">
        <v>8</v>
      </c>
      <c r="I580" s="368" t="str">
        <f>VLOOKUP(H580,'[2]Source Codes'!A$2:B$115,2,FALSE)</f>
        <v>Prch,Cntrl Mail,Flt,Prntg,Sply</v>
      </c>
      <c r="J580" s="412">
        <v>-1451995.21</v>
      </c>
      <c r="K580" s="385">
        <v>45482</v>
      </c>
      <c r="L580" s="387" t="s">
        <v>1237</v>
      </c>
      <c r="M580" s="388">
        <v>45482.603530092594</v>
      </c>
      <c r="N580" s="368" t="s">
        <v>356</v>
      </c>
      <c r="O580" s="368" t="s">
        <v>382</v>
      </c>
    </row>
    <row r="581" spans="1:15" ht="12.75" customHeight="1" collapsed="1">
      <c r="J581" s="413">
        <f>SUM(J579:J580)</f>
        <v>-155438.24</v>
      </c>
    </row>
    <row r="583" spans="1:15" ht="12.75" customHeight="1">
      <c r="A583" s="378" t="s">
        <v>1238</v>
      </c>
    </row>
    <row r="584" spans="1:15" ht="30" hidden="1" outlineLevel="1">
      <c r="B584" s="384">
        <v>2025</v>
      </c>
      <c r="C584" s="384">
        <v>1</v>
      </c>
      <c r="D584" s="367" t="s">
        <v>5</v>
      </c>
      <c r="E584" s="367" t="s">
        <v>6</v>
      </c>
      <c r="F584" s="367" t="s">
        <v>1239</v>
      </c>
      <c r="G584" s="385">
        <v>45483</v>
      </c>
      <c r="H584" s="367" t="s">
        <v>14</v>
      </c>
      <c r="I584" s="368" t="str">
        <f>VLOOKUP(H584,'[2]Source Codes'!A$2:B$115,2,FALSE)</f>
        <v>AP Warrant Issuance</v>
      </c>
      <c r="J584" s="412">
        <v>-1153421.25</v>
      </c>
      <c r="K584" s="385">
        <v>45483</v>
      </c>
      <c r="L584" s="387" t="s">
        <v>1245</v>
      </c>
      <c r="M584" s="388">
        <v>45483.793726851851</v>
      </c>
      <c r="N584" s="368" t="s">
        <v>356</v>
      </c>
      <c r="O584" s="368" t="s">
        <v>368</v>
      </c>
    </row>
    <row r="585" spans="1:15" ht="30" hidden="1" outlineLevel="1">
      <c r="B585" s="384">
        <v>2025</v>
      </c>
      <c r="C585" s="384">
        <v>1</v>
      </c>
      <c r="D585" s="367" t="s">
        <v>5</v>
      </c>
      <c r="E585" s="367" t="s">
        <v>6</v>
      </c>
      <c r="F585" s="367" t="s">
        <v>1240</v>
      </c>
      <c r="G585" s="385">
        <v>45483</v>
      </c>
      <c r="H585" s="367" t="s">
        <v>14</v>
      </c>
      <c r="I585" s="368" t="str">
        <f>VLOOKUP(H585,'[2]Source Codes'!A$2:B$115,2,FALSE)</f>
        <v>AP Warrant Issuance</v>
      </c>
      <c r="J585" s="412">
        <v>-1110341.6599999999</v>
      </c>
      <c r="K585" s="385">
        <v>45483</v>
      </c>
      <c r="L585" s="387" t="s">
        <v>1246</v>
      </c>
      <c r="M585" s="388">
        <v>45483.793726851851</v>
      </c>
      <c r="N585" s="368" t="s">
        <v>360</v>
      </c>
      <c r="O585" s="368" t="s">
        <v>357</v>
      </c>
    </row>
    <row r="586" spans="1:15" ht="30" hidden="1" outlineLevel="1">
      <c r="B586" s="384">
        <v>2025</v>
      </c>
      <c r="C586" s="384">
        <v>1</v>
      </c>
      <c r="D586" s="367" t="s">
        <v>5</v>
      </c>
      <c r="E586" s="367" t="s">
        <v>6</v>
      </c>
      <c r="F586" s="367" t="s">
        <v>1241</v>
      </c>
      <c r="G586" s="385">
        <v>45485</v>
      </c>
      <c r="H586" s="367" t="s">
        <v>14</v>
      </c>
      <c r="I586" s="368" t="str">
        <f>VLOOKUP(H586,'[2]Source Codes'!A$2:B$115,2,FALSE)</f>
        <v>AP Warrant Issuance</v>
      </c>
      <c r="J586" s="412">
        <v>-1004218.63</v>
      </c>
      <c r="K586" s="385">
        <v>45483</v>
      </c>
      <c r="L586" s="387" t="s">
        <v>1247</v>
      </c>
      <c r="M586" s="388">
        <v>45483.793726851851</v>
      </c>
      <c r="N586" s="368" t="s">
        <v>356</v>
      </c>
      <c r="O586" s="368" t="s">
        <v>368</v>
      </c>
    </row>
    <row r="587" spans="1:15" ht="30" hidden="1" outlineLevel="1">
      <c r="B587" s="384">
        <v>2025</v>
      </c>
      <c r="C587" s="384">
        <v>1</v>
      </c>
      <c r="D587" s="367" t="s">
        <v>5</v>
      </c>
      <c r="E587" s="367" t="s">
        <v>6</v>
      </c>
      <c r="F587" s="367" t="s">
        <v>1242</v>
      </c>
      <c r="G587" s="385">
        <v>45482</v>
      </c>
      <c r="H587" s="367" t="s">
        <v>12</v>
      </c>
      <c r="I587" s="368" t="str">
        <f>VLOOKUP(H587,'[2]Source Codes'!A$2:B$115,2,FALSE)</f>
        <v>AR Direct Cash Journal</v>
      </c>
      <c r="J587" s="412">
        <v>4373646.34</v>
      </c>
      <c r="K587" s="385">
        <v>45483</v>
      </c>
      <c r="L587" s="387" t="s">
        <v>1248</v>
      </c>
      <c r="M587" s="388">
        <v>45483.751898148148</v>
      </c>
      <c r="N587" s="368" t="s">
        <v>356</v>
      </c>
      <c r="O587" s="368" t="s">
        <v>362</v>
      </c>
    </row>
    <row r="588" spans="1:15" ht="45" hidden="1" outlineLevel="1">
      <c r="B588" s="384">
        <v>2024</v>
      </c>
      <c r="C588" s="384">
        <v>12</v>
      </c>
      <c r="D588" s="367" t="s">
        <v>5</v>
      </c>
      <c r="E588" s="367" t="s">
        <v>6</v>
      </c>
      <c r="F588" s="367" t="s">
        <v>1243</v>
      </c>
      <c r="G588" s="385">
        <v>45473</v>
      </c>
      <c r="H588" s="367" t="s">
        <v>9</v>
      </c>
      <c r="I588" s="368" t="str">
        <f>VLOOKUP(H588,'[2]Source Codes'!A$2:B$115,2,FALSE)</f>
        <v>On Line Journal Entries</v>
      </c>
      <c r="J588" s="412">
        <v>-1291016.75</v>
      </c>
      <c r="K588" s="385">
        <v>45483</v>
      </c>
      <c r="L588" s="387" t="s">
        <v>1244</v>
      </c>
      <c r="M588" s="388">
        <v>45483.869097222225</v>
      </c>
      <c r="N588" s="368" t="s">
        <v>506</v>
      </c>
      <c r="O588" s="368" t="s">
        <v>358</v>
      </c>
    </row>
    <row r="589" spans="1:15" ht="12.75" customHeight="1" collapsed="1">
      <c r="J589" s="413">
        <f>SUM(J584:J588)</f>
        <v>-185351.95000000019</v>
      </c>
    </row>
    <row r="591" spans="1:15" ht="12.75" customHeight="1">
      <c r="A591" s="378" t="s">
        <v>1249</v>
      </c>
    </row>
    <row r="592" spans="1:15" ht="60" hidden="1" outlineLevel="1">
      <c r="B592" s="384">
        <v>2025</v>
      </c>
      <c r="C592" s="384">
        <v>1</v>
      </c>
      <c r="D592" s="367" t="s">
        <v>5</v>
      </c>
      <c r="E592" s="367" t="s">
        <v>6</v>
      </c>
      <c r="F592" s="367" t="s">
        <v>1250</v>
      </c>
      <c r="G592" s="385">
        <v>45488</v>
      </c>
      <c r="H592" s="367" t="s">
        <v>14</v>
      </c>
      <c r="I592" s="368" t="str">
        <f>VLOOKUP(H592,'[2]Source Codes'!A$2:B$115,2,FALSE)</f>
        <v>AP Warrant Issuance</v>
      </c>
      <c r="J592" s="412">
        <v>-4954013.07</v>
      </c>
      <c r="K592" s="385">
        <v>45484</v>
      </c>
      <c r="L592" s="387" t="s">
        <v>1256</v>
      </c>
      <c r="M592" s="388">
        <v>45484.793611111112</v>
      </c>
      <c r="N592" s="368" t="s">
        <v>356</v>
      </c>
      <c r="O592" s="368" t="s">
        <v>364</v>
      </c>
    </row>
    <row r="593" spans="1:15" ht="30" hidden="1" outlineLevel="1">
      <c r="B593" s="384">
        <v>2025</v>
      </c>
      <c r="C593" s="384">
        <v>1</v>
      </c>
      <c r="D593" s="367" t="s">
        <v>5</v>
      </c>
      <c r="E593" s="367" t="s">
        <v>6</v>
      </c>
      <c r="F593" s="367" t="s">
        <v>1251</v>
      </c>
      <c r="G593" s="385">
        <v>45484</v>
      </c>
      <c r="H593" s="367" t="s">
        <v>14</v>
      </c>
      <c r="I593" s="368" t="str">
        <f>VLOOKUP(H593,'[2]Source Codes'!A$2:B$115,2,FALSE)</f>
        <v>AP Warrant Issuance</v>
      </c>
      <c r="J593" s="412">
        <v>-1515353.29</v>
      </c>
      <c r="K593" s="385">
        <v>45484</v>
      </c>
      <c r="L593" s="387" t="s">
        <v>1257</v>
      </c>
      <c r="M593" s="388">
        <v>45484.793611111112</v>
      </c>
      <c r="N593" s="368" t="s">
        <v>356</v>
      </c>
      <c r="O593" s="368" t="s">
        <v>368</v>
      </c>
    </row>
    <row r="594" spans="1:15" ht="30" hidden="1" outlineLevel="1">
      <c r="B594" s="384">
        <v>2025</v>
      </c>
      <c r="C594" s="384">
        <v>1</v>
      </c>
      <c r="D594" s="367" t="s">
        <v>5</v>
      </c>
      <c r="E594" s="367" t="s">
        <v>6</v>
      </c>
      <c r="F594" s="367" t="s">
        <v>1252</v>
      </c>
      <c r="G594" s="385">
        <v>45484</v>
      </c>
      <c r="H594" s="367" t="s">
        <v>12</v>
      </c>
      <c r="I594" s="368" t="str">
        <f>VLOOKUP(H594,'[2]Source Codes'!A$2:B$115,2,FALSE)</f>
        <v>AR Direct Cash Journal</v>
      </c>
      <c r="J594" s="412">
        <v>4289443</v>
      </c>
      <c r="K594" s="385">
        <v>45484</v>
      </c>
      <c r="L594" s="387" t="s">
        <v>512</v>
      </c>
      <c r="M594" s="388">
        <v>45484.751712962963</v>
      </c>
      <c r="N594" s="368" t="s">
        <v>506</v>
      </c>
      <c r="O594" s="368" t="s">
        <v>371</v>
      </c>
    </row>
    <row r="595" spans="1:15" ht="12.75" hidden="1" customHeight="1" outlineLevel="1">
      <c r="B595" s="384">
        <v>2025</v>
      </c>
      <c r="C595" s="384">
        <v>1</v>
      </c>
      <c r="D595" s="367" t="s">
        <v>5</v>
      </c>
      <c r="E595" s="367" t="s">
        <v>6</v>
      </c>
      <c r="F595" s="367" t="s">
        <v>1253</v>
      </c>
      <c r="G595" s="385">
        <v>45483</v>
      </c>
      <c r="H595" s="367" t="s">
        <v>7</v>
      </c>
      <c r="I595" s="368" t="str">
        <f>VLOOKUP(H595,'[2]Source Codes'!A$2:B$115,2,FALSE)</f>
        <v>HRMS Interface Journals</v>
      </c>
      <c r="J595" s="412">
        <v>-2405734.41</v>
      </c>
      <c r="K595" s="385">
        <v>45484</v>
      </c>
      <c r="L595" s="387" t="s">
        <v>350</v>
      </c>
      <c r="M595" s="388">
        <v>45484.615960648145</v>
      </c>
      <c r="N595" s="368" t="s">
        <v>378</v>
      </c>
      <c r="O595" s="368" t="s">
        <v>379</v>
      </c>
    </row>
    <row r="596" spans="1:15" ht="12.75" hidden="1" customHeight="1" outlineLevel="1">
      <c r="B596" s="384">
        <v>2025</v>
      </c>
      <c r="C596" s="384">
        <v>1</v>
      </c>
      <c r="D596" s="367" t="s">
        <v>5</v>
      </c>
      <c r="E596" s="367" t="s">
        <v>6</v>
      </c>
      <c r="F596" s="367" t="s">
        <v>1254</v>
      </c>
      <c r="G596" s="385">
        <v>45483</v>
      </c>
      <c r="H596" s="367" t="s">
        <v>7</v>
      </c>
      <c r="I596" s="368" t="str">
        <f>VLOOKUP(H596,'[2]Source Codes'!A$2:B$115,2,FALSE)</f>
        <v>HRMS Interface Journals</v>
      </c>
      <c r="J596" s="412">
        <v>-16810381.510000002</v>
      </c>
      <c r="K596" s="385">
        <v>45484</v>
      </c>
      <c r="L596" s="387" t="s">
        <v>349</v>
      </c>
      <c r="M596" s="388">
        <v>45484.612523148149</v>
      </c>
      <c r="N596" s="368" t="s">
        <v>378</v>
      </c>
      <c r="O596" s="368" t="s">
        <v>379</v>
      </c>
    </row>
    <row r="597" spans="1:15" ht="12.75" hidden="1" customHeight="1" outlineLevel="1">
      <c r="B597" s="384">
        <v>2025</v>
      </c>
      <c r="C597" s="384">
        <v>1</v>
      </c>
      <c r="D597" s="367" t="s">
        <v>5</v>
      </c>
      <c r="E597" s="367" t="s">
        <v>6</v>
      </c>
      <c r="F597" s="367" t="s">
        <v>1255</v>
      </c>
      <c r="G597" s="385">
        <v>45483</v>
      </c>
      <c r="H597" s="367" t="s">
        <v>7</v>
      </c>
      <c r="I597" s="368" t="str">
        <f>VLOOKUP(H597,'[2]Source Codes'!A$2:B$115,2,FALSE)</f>
        <v>HRMS Interface Journals</v>
      </c>
      <c r="J597" s="412">
        <v>-67018767.670000002</v>
      </c>
      <c r="K597" s="385">
        <v>45484</v>
      </c>
      <c r="L597" s="387" t="s">
        <v>348</v>
      </c>
      <c r="M597" s="388">
        <v>45484.619328703702</v>
      </c>
      <c r="N597" s="368" t="s">
        <v>378</v>
      </c>
      <c r="O597" s="368" t="s">
        <v>379</v>
      </c>
    </row>
    <row r="598" spans="1:15" ht="12.75" customHeight="1" collapsed="1">
      <c r="J598" s="413">
        <f>SUM(J592:J597)</f>
        <v>-88414806.950000003</v>
      </c>
    </row>
    <row r="600" spans="1:15" ht="12.75" customHeight="1">
      <c r="A600" s="378" t="s">
        <v>1258</v>
      </c>
    </row>
    <row r="601" spans="1:15" ht="30" hidden="1" outlineLevel="1">
      <c r="B601" s="384">
        <v>2025</v>
      </c>
      <c r="C601" s="384">
        <v>1</v>
      </c>
      <c r="D601" s="367" t="s">
        <v>5</v>
      </c>
      <c r="E601" s="367" t="s">
        <v>6</v>
      </c>
      <c r="F601" s="367" t="s">
        <v>1259</v>
      </c>
      <c r="G601" s="385">
        <v>45483</v>
      </c>
      <c r="H601" s="367" t="s">
        <v>11</v>
      </c>
      <c r="I601" s="368" t="str">
        <f>VLOOKUP(H601,'[2]Source Codes'!A$2:B$115,2,FALSE)</f>
        <v>AR Payments</v>
      </c>
      <c r="J601" s="412">
        <v>1386602.72</v>
      </c>
      <c r="K601" s="385">
        <v>45485</v>
      </c>
      <c r="L601" s="387" t="s">
        <v>1260</v>
      </c>
      <c r="M601" s="388">
        <v>45485.751493055555</v>
      </c>
      <c r="N601" s="368" t="s">
        <v>356</v>
      </c>
      <c r="O601" s="368" t="s">
        <v>357</v>
      </c>
    </row>
    <row r="602" spans="1:15" ht="12.75" customHeight="1" collapsed="1">
      <c r="J602" s="413">
        <f>SUM(J601)</f>
        <v>1386602.72</v>
      </c>
    </row>
    <row r="604" spans="1:15" ht="12.75" customHeight="1">
      <c r="A604" s="378" t="s">
        <v>1261</v>
      </c>
    </row>
    <row r="605" spans="1:15" ht="60" hidden="1" outlineLevel="1">
      <c r="B605" s="384">
        <v>2025</v>
      </c>
      <c r="C605" s="384">
        <v>1</v>
      </c>
      <c r="D605" s="367" t="s">
        <v>5</v>
      </c>
      <c r="E605" s="367" t="s">
        <v>6</v>
      </c>
      <c r="F605" s="367" t="s">
        <v>1262</v>
      </c>
      <c r="G605" s="385">
        <v>45475</v>
      </c>
      <c r="H605" s="367" t="s">
        <v>11</v>
      </c>
      <c r="I605" s="368" t="str">
        <f>VLOOKUP(H605,'[2]Source Codes'!A$2:B$115,2,FALSE)</f>
        <v>AR Payments</v>
      </c>
      <c r="J605" s="412">
        <v>3490294.39</v>
      </c>
      <c r="K605" s="385">
        <v>45488</v>
      </c>
      <c r="L605" s="387" t="s">
        <v>1264</v>
      </c>
      <c r="M605" s="388">
        <v>45488.751921296294</v>
      </c>
      <c r="N605" s="368" t="s">
        <v>356</v>
      </c>
      <c r="O605" s="368" t="s">
        <v>357</v>
      </c>
    </row>
    <row r="606" spans="1:15" ht="12.75" hidden="1" customHeight="1" outlineLevel="1">
      <c r="B606" s="384">
        <v>2025</v>
      </c>
      <c r="C606" s="384">
        <v>1</v>
      </c>
      <c r="D606" s="367" t="s">
        <v>5</v>
      </c>
      <c r="E606" s="367" t="s">
        <v>6</v>
      </c>
      <c r="F606" s="367" t="s">
        <v>1263</v>
      </c>
      <c r="G606" s="385">
        <v>45474</v>
      </c>
      <c r="H606" s="367" t="s">
        <v>13</v>
      </c>
      <c r="I606" s="368" t="str">
        <f>VLOOKUP(H606,'[2]Source Codes'!A$2:B$115,2,FALSE)</f>
        <v>C-IV Voucher/Payments/EBT</v>
      </c>
      <c r="J606" s="412">
        <v>-9546886.4800000004</v>
      </c>
      <c r="K606" s="385">
        <v>45488</v>
      </c>
      <c r="L606" s="387" t="s">
        <v>388</v>
      </c>
      <c r="M606" s="388">
        <v>45488.86891203704</v>
      </c>
      <c r="N606" s="368" t="s">
        <v>356</v>
      </c>
      <c r="O606" s="368" t="s">
        <v>364</v>
      </c>
    </row>
    <row r="607" spans="1:15" ht="12.75" customHeight="1" collapsed="1">
      <c r="J607" s="413">
        <f>SUM(J605:J606)</f>
        <v>-6056592.0899999999</v>
      </c>
    </row>
    <row r="609" spans="1:15" ht="12.75" customHeight="1">
      <c r="A609" s="378" t="s">
        <v>1265</v>
      </c>
    </row>
    <row r="610" spans="1:15" ht="60" hidden="1" outlineLevel="1">
      <c r="A610" s="378"/>
      <c r="B610" s="384">
        <v>2025</v>
      </c>
      <c r="C610" s="384">
        <v>1</v>
      </c>
      <c r="D610" s="367" t="s">
        <v>5</v>
      </c>
      <c r="E610" s="367" t="s">
        <v>6</v>
      </c>
      <c r="F610" s="367" t="s">
        <v>1266</v>
      </c>
      <c r="G610" s="385">
        <v>45490</v>
      </c>
      <c r="H610" s="367" t="s">
        <v>14</v>
      </c>
      <c r="I610" s="368" t="str">
        <f>VLOOKUP(H610,'[2]Source Codes'!A$2:B$115,2,FALSE)</f>
        <v>AP Warrant Issuance</v>
      </c>
      <c r="J610" s="412">
        <v>-3587222.52</v>
      </c>
      <c r="K610" s="385">
        <v>45490</v>
      </c>
      <c r="L610" s="387" t="s">
        <v>1274</v>
      </c>
      <c r="M610" s="388">
        <v>45490.793657407405</v>
      </c>
      <c r="N610" s="368" t="s">
        <v>361</v>
      </c>
      <c r="O610" s="368" t="s">
        <v>363</v>
      </c>
    </row>
    <row r="611" spans="1:15" ht="30" hidden="1" outlineLevel="1">
      <c r="A611" s="378"/>
      <c r="B611" s="384">
        <v>2025</v>
      </c>
      <c r="C611" s="384">
        <v>1</v>
      </c>
      <c r="D611" s="367" t="s">
        <v>5</v>
      </c>
      <c r="E611" s="367" t="s">
        <v>6</v>
      </c>
      <c r="F611" s="367" t="s">
        <v>1267</v>
      </c>
      <c r="G611" s="385">
        <v>45489</v>
      </c>
      <c r="H611" s="367" t="s">
        <v>12</v>
      </c>
      <c r="I611" s="368" t="str">
        <f>VLOOKUP(H611,'[2]Source Codes'!A$2:B$115,2,FALSE)</f>
        <v>AR Direct Cash Journal</v>
      </c>
      <c r="J611" s="412">
        <v>2937279.45</v>
      </c>
      <c r="K611" s="385">
        <v>45490</v>
      </c>
      <c r="L611" s="387" t="s">
        <v>1275</v>
      </c>
      <c r="M611" s="388">
        <v>45490.751956018517</v>
      </c>
      <c r="N611" s="368" t="s">
        <v>356</v>
      </c>
      <c r="O611" s="368" t="s">
        <v>362</v>
      </c>
    </row>
    <row r="612" spans="1:15" ht="30" hidden="1" outlineLevel="1">
      <c r="A612" s="378"/>
      <c r="B612" s="384">
        <v>2025</v>
      </c>
      <c r="C612" s="384">
        <v>1</v>
      </c>
      <c r="D612" s="367" t="s">
        <v>5</v>
      </c>
      <c r="E612" s="367" t="s">
        <v>6</v>
      </c>
      <c r="F612" s="367" t="s">
        <v>1268</v>
      </c>
      <c r="G612" s="385">
        <v>45490</v>
      </c>
      <c r="H612" s="367" t="s">
        <v>11</v>
      </c>
      <c r="I612" s="368" t="str">
        <f>VLOOKUP(H612,'[2]Source Codes'!A$2:B$115,2,FALSE)</f>
        <v>AR Payments</v>
      </c>
      <c r="J612" s="412">
        <v>1519050.19</v>
      </c>
      <c r="K612" s="385">
        <v>45490</v>
      </c>
      <c r="L612" s="387" t="s">
        <v>394</v>
      </c>
      <c r="M612" s="388">
        <v>45490.751956018517</v>
      </c>
      <c r="N612" s="368" t="s">
        <v>356</v>
      </c>
      <c r="O612" s="368" t="s">
        <v>357</v>
      </c>
    </row>
    <row r="613" spans="1:15" ht="12.75" hidden="1" customHeight="1" outlineLevel="1">
      <c r="A613" s="378"/>
      <c r="B613" s="384">
        <v>2024</v>
      </c>
      <c r="C613" s="384">
        <v>12</v>
      </c>
      <c r="D613" s="367" t="s">
        <v>5</v>
      </c>
      <c r="E613" s="367" t="s">
        <v>6</v>
      </c>
      <c r="F613" s="367" t="s">
        <v>1269</v>
      </c>
      <c r="G613" s="385">
        <v>45473</v>
      </c>
      <c r="H613" s="367" t="s">
        <v>16</v>
      </c>
      <c r="I613" s="368" t="str">
        <f>VLOOKUP(H613,'[2]Source Codes'!A$2:B$115,2,FALSE)</f>
        <v>Property Tax Interface</v>
      </c>
      <c r="J613" s="412">
        <v>4231310.08</v>
      </c>
      <c r="K613" s="385">
        <v>45490</v>
      </c>
      <c r="L613" s="387" t="s">
        <v>1273</v>
      </c>
      <c r="M613" s="388">
        <v>45490.635011574072</v>
      </c>
      <c r="N613" s="390" t="s">
        <v>361</v>
      </c>
      <c r="O613" s="367" t="s">
        <v>384</v>
      </c>
    </row>
    <row r="614" spans="1:15" ht="12.75" hidden="1" customHeight="1" outlineLevel="1">
      <c r="A614" s="378"/>
      <c r="B614" s="384">
        <v>2025</v>
      </c>
      <c r="C614" s="384">
        <v>1</v>
      </c>
      <c r="D614" s="367" t="s">
        <v>5</v>
      </c>
      <c r="E614" s="367" t="s">
        <v>6</v>
      </c>
      <c r="F614" s="367" t="s">
        <v>1270</v>
      </c>
      <c r="G614" s="385">
        <v>45489</v>
      </c>
      <c r="H614" s="367" t="s">
        <v>16</v>
      </c>
      <c r="I614" s="368" t="str">
        <f>VLOOKUP(H614,'[2]Source Codes'!A$2:B$115,2,FALSE)</f>
        <v>Property Tax Interface</v>
      </c>
      <c r="J614" s="412">
        <v>1740305.96</v>
      </c>
      <c r="K614" s="385">
        <v>45490</v>
      </c>
      <c r="L614" s="387" t="s">
        <v>1273</v>
      </c>
      <c r="M614" s="388">
        <v>45490.63144675926</v>
      </c>
      <c r="N614" s="390" t="s">
        <v>361</v>
      </c>
      <c r="O614" s="367" t="s">
        <v>384</v>
      </c>
    </row>
    <row r="615" spans="1:15" ht="30" hidden="1" outlineLevel="1">
      <c r="A615" s="378"/>
      <c r="B615" s="384">
        <v>2024</v>
      </c>
      <c r="C615" s="384">
        <v>12</v>
      </c>
      <c r="D615" s="367" t="s">
        <v>5</v>
      </c>
      <c r="E615" s="367" t="s">
        <v>6</v>
      </c>
      <c r="F615" s="367" t="s">
        <v>1271</v>
      </c>
      <c r="G615" s="385">
        <v>45473</v>
      </c>
      <c r="H615" s="367" t="s">
        <v>9</v>
      </c>
      <c r="I615" s="368" t="str">
        <f>VLOOKUP(H615,'[2]Source Codes'!A$2:B$115,2,FALSE)</f>
        <v>On Line Journal Entries</v>
      </c>
      <c r="J615" s="412">
        <v>-2578019.71</v>
      </c>
      <c r="K615" s="385">
        <v>45490</v>
      </c>
      <c r="L615" s="387" t="s">
        <v>1272</v>
      </c>
      <c r="M615" s="388">
        <v>45490.869016203702</v>
      </c>
      <c r="N615" s="368" t="s">
        <v>360</v>
      </c>
      <c r="O615" s="368" t="s">
        <v>368</v>
      </c>
    </row>
    <row r="616" spans="1:15" ht="12.75" customHeight="1" collapsed="1">
      <c r="A616" s="378"/>
      <c r="J616" s="413">
        <f>SUM(J610:J615)</f>
        <v>4262703.45</v>
      </c>
    </row>
    <row r="617" spans="1:15" ht="12.75" customHeight="1">
      <c r="A617" s="378"/>
    </row>
    <row r="618" spans="1:15" ht="12.75" customHeight="1">
      <c r="A618" s="378" t="s">
        <v>1276</v>
      </c>
    </row>
    <row r="619" spans="1:15" ht="26.25" hidden="1" customHeight="1" outlineLevel="1">
      <c r="B619" s="384">
        <v>2025</v>
      </c>
      <c r="C619" s="384">
        <v>1</v>
      </c>
      <c r="D619" s="367" t="s">
        <v>5</v>
      </c>
      <c r="E619" s="367" t="s">
        <v>6</v>
      </c>
      <c r="F619" s="367" t="s">
        <v>1277</v>
      </c>
      <c r="G619" s="385">
        <v>45491</v>
      </c>
      <c r="H619" s="367" t="s">
        <v>14</v>
      </c>
      <c r="I619" s="368" t="str">
        <f>VLOOKUP(H619,'[2]Source Codes'!A$2:B$115,2,FALSE)</f>
        <v>AP Warrant Issuance</v>
      </c>
      <c r="J619" s="412">
        <v>-1364381.53</v>
      </c>
      <c r="K619" s="385">
        <v>45491</v>
      </c>
      <c r="L619" s="387" t="s">
        <v>1279</v>
      </c>
      <c r="M619" s="388">
        <v>45491.793599537035</v>
      </c>
      <c r="N619" s="368" t="s">
        <v>359</v>
      </c>
      <c r="O619" s="368" t="s">
        <v>392</v>
      </c>
    </row>
    <row r="620" spans="1:15" ht="32.25" hidden="1" customHeight="1" outlineLevel="1">
      <c r="B620" s="384">
        <v>2025</v>
      </c>
      <c r="C620" s="384">
        <v>1</v>
      </c>
      <c r="D620" s="367" t="s">
        <v>5</v>
      </c>
      <c r="E620" s="367" t="s">
        <v>6</v>
      </c>
      <c r="F620" s="367" t="s">
        <v>1278</v>
      </c>
      <c r="G620" s="385">
        <v>45490</v>
      </c>
      <c r="H620" s="367" t="s">
        <v>11</v>
      </c>
      <c r="I620" s="368" t="str">
        <f>VLOOKUP(H620,'[2]Source Codes'!A$2:B$115,2,FALSE)</f>
        <v>AR Payments</v>
      </c>
      <c r="J620" s="412">
        <v>1684638.38</v>
      </c>
      <c r="K620" s="385">
        <v>45491</v>
      </c>
      <c r="L620" s="387" t="s">
        <v>1280</v>
      </c>
      <c r="M620" s="388">
        <v>45491.751944444448</v>
      </c>
      <c r="N620" s="368" t="s">
        <v>359</v>
      </c>
      <c r="O620" s="368" t="s">
        <v>392</v>
      </c>
    </row>
    <row r="621" spans="1:15" ht="12.75" customHeight="1" collapsed="1">
      <c r="J621" s="413">
        <f>SUM(J619:J620)</f>
        <v>320256.84999999986</v>
      </c>
    </row>
    <row r="623" spans="1:15" ht="12.75" customHeight="1">
      <c r="A623" s="378" t="s">
        <v>1281</v>
      </c>
    </row>
    <row r="624" spans="1:15" ht="45" hidden="1" outlineLevel="1">
      <c r="B624" s="384">
        <v>2025</v>
      </c>
      <c r="C624" s="384">
        <v>1</v>
      </c>
      <c r="D624" s="367" t="s">
        <v>5</v>
      </c>
      <c r="E624" s="367" t="s">
        <v>6</v>
      </c>
      <c r="F624" s="367" t="s">
        <v>1282</v>
      </c>
      <c r="G624" s="385">
        <v>45489</v>
      </c>
      <c r="H624" s="367" t="s">
        <v>11</v>
      </c>
      <c r="I624" s="368" t="str">
        <f>VLOOKUP(H624,'[2]Source Codes'!A$2:B$115,2,FALSE)</f>
        <v>AR Payments</v>
      </c>
      <c r="J624" s="412">
        <v>1381709.3</v>
      </c>
      <c r="K624" s="385">
        <v>45492</v>
      </c>
      <c r="L624" s="387" t="s">
        <v>1288</v>
      </c>
      <c r="M624" s="388">
        <v>45492.751689814817</v>
      </c>
      <c r="N624" s="368" t="s">
        <v>359</v>
      </c>
      <c r="O624" s="368" t="s">
        <v>392</v>
      </c>
    </row>
    <row r="625" spans="1:15" ht="30" hidden="1" outlineLevel="1">
      <c r="B625" s="384">
        <v>2025</v>
      </c>
      <c r="C625" s="384">
        <v>1</v>
      </c>
      <c r="D625" s="367" t="s">
        <v>5</v>
      </c>
      <c r="E625" s="367" t="s">
        <v>6</v>
      </c>
      <c r="F625" s="367" t="s">
        <v>1283</v>
      </c>
      <c r="G625" s="385">
        <v>45491</v>
      </c>
      <c r="H625" s="367" t="s">
        <v>11</v>
      </c>
      <c r="I625" s="368" t="str">
        <f>VLOOKUP(H625,'[2]Source Codes'!A$2:B$115,2,FALSE)</f>
        <v>AR Payments</v>
      </c>
      <c r="J625" s="412">
        <v>1331257.33</v>
      </c>
      <c r="K625" s="385">
        <v>45492</v>
      </c>
      <c r="L625" s="387" t="s">
        <v>1120</v>
      </c>
      <c r="M625" s="388">
        <v>45492.751689814817</v>
      </c>
      <c r="N625" s="368" t="s">
        <v>359</v>
      </c>
      <c r="O625" s="368" t="s">
        <v>392</v>
      </c>
    </row>
    <row r="626" spans="1:15" ht="45" hidden="1" outlineLevel="1">
      <c r="B626" s="384">
        <v>2024</v>
      </c>
      <c r="C626" s="384">
        <v>12</v>
      </c>
      <c r="D626" s="367" t="s">
        <v>5</v>
      </c>
      <c r="E626" s="367" t="s">
        <v>6</v>
      </c>
      <c r="F626" s="367" t="s">
        <v>1284</v>
      </c>
      <c r="G626" s="385">
        <v>45473</v>
      </c>
      <c r="H626" s="367" t="s">
        <v>9</v>
      </c>
      <c r="I626" s="368" t="str">
        <f>VLOOKUP(H626,'[2]Source Codes'!A$2:B$115,2,FALSE)</f>
        <v>On Line Journal Entries</v>
      </c>
      <c r="J626" s="412">
        <v>2578019.71</v>
      </c>
      <c r="K626" s="385">
        <v>45492</v>
      </c>
      <c r="L626" s="387" t="s">
        <v>1285</v>
      </c>
      <c r="M626" s="388">
        <v>45492.645891203705</v>
      </c>
      <c r="N626" s="368" t="s">
        <v>360</v>
      </c>
      <c r="O626" s="368" t="s">
        <v>368</v>
      </c>
    </row>
    <row r="627" spans="1:15" ht="30" hidden="1" outlineLevel="1">
      <c r="B627" s="384">
        <v>2024</v>
      </c>
      <c r="C627" s="384">
        <v>12</v>
      </c>
      <c r="D627" s="367" t="s">
        <v>5</v>
      </c>
      <c r="E627" s="367" t="s">
        <v>6</v>
      </c>
      <c r="F627" s="367" t="s">
        <v>1286</v>
      </c>
      <c r="G627" s="385">
        <v>45473</v>
      </c>
      <c r="H627" s="367" t="s">
        <v>9</v>
      </c>
      <c r="I627" s="368" t="str">
        <f>VLOOKUP(H627,'[2]Source Codes'!A$2:B$115,2,FALSE)</f>
        <v>On Line Journal Entries</v>
      </c>
      <c r="J627" s="412">
        <v>-4207271.25</v>
      </c>
      <c r="K627" s="385">
        <v>45492</v>
      </c>
      <c r="L627" s="387" t="s">
        <v>1287</v>
      </c>
      <c r="M627" s="388">
        <v>45492.635381944441</v>
      </c>
      <c r="N627" s="368" t="s">
        <v>360</v>
      </c>
      <c r="O627" s="368" t="s">
        <v>368</v>
      </c>
    </row>
    <row r="628" spans="1:15" ht="12.75" customHeight="1" collapsed="1">
      <c r="J628" s="413">
        <f>SUM(J624:J627)</f>
        <v>1083715.0899999999</v>
      </c>
    </row>
    <row r="630" spans="1:15" ht="12.75" customHeight="1">
      <c r="A630" s="378" t="s">
        <v>1289</v>
      </c>
      <c r="K630" s="377"/>
    </row>
    <row r="631" spans="1:15" ht="30" hidden="1" outlineLevel="1">
      <c r="B631" s="384">
        <v>2025</v>
      </c>
      <c r="C631" s="384">
        <v>1</v>
      </c>
      <c r="D631" s="367" t="s">
        <v>5</v>
      </c>
      <c r="E631" s="367" t="s">
        <v>6</v>
      </c>
      <c r="F631" s="367" t="s">
        <v>1290</v>
      </c>
      <c r="G631" s="385">
        <v>45497</v>
      </c>
      <c r="H631" s="367" t="s">
        <v>14</v>
      </c>
      <c r="I631" s="368" t="str">
        <f>VLOOKUP(H631,'[2]Source Codes'!A$2:B$115,2,FALSE)</f>
        <v>AP Warrant Issuance</v>
      </c>
      <c r="J631" s="412">
        <v>-2402131.73</v>
      </c>
      <c r="K631" s="385">
        <v>45495</v>
      </c>
      <c r="L631" s="387" t="s">
        <v>1292</v>
      </c>
      <c r="M631" s="388">
        <v>45495.793599537035</v>
      </c>
      <c r="N631" s="368" t="s">
        <v>359</v>
      </c>
      <c r="O631" s="368" t="s">
        <v>368</v>
      </c>
    </row>
    <row r="632" spans="1:15" ht="30" hidden="1" outlineLevel="1">
      <c r="B632" s="384">
        <v>2025</v>
      </c>
      <c r="C632" s="384">
        <v>1</v>
      </c>
      <c r="D632" s="367" t="s">
        <v>5</v>
      </c>
      <c r="E632" s="367" t="s">
        <v>6</v>
      </c>
      <c r="F632" s="367" t="s">
        <v>1291</v>
      </c>
      <c r="G632" s="385">
        <v>45495</v>
      </c>
      <c r="H632" s="367" t="s">
        <v>14</v>
      </c>
      <c r="I632" s="368" t="str">
        <f>VLOOKUP(H632,'[2]Source Codes'!A$2:B$115,2,FALSE)</f>
        <v>AP Warrant Issuance</v>
      </c>
      <c r="J632" s="412">
        <v>-1658756.55</v>
      </c>
      <c r="K632" s="385">
        <v>45495</v>
      </c>
      <c r="L632" s="387" t="s">
        <v>1293</v>
      </c>
      <c r="M632" s="388">
        <v>45495.793599537035</v>
      </c>
      <c r="N632" s="368" t="s">
        <v>359</v>
      </c>
      <c r="O632" s="368" t="s">
        <v>368</v>
      </c>
    </row>
    <row r="633" spans="1:15" ht="12.75" customHeight="1" collapsed="1">
      <c r="J633" s="413">
        <f>SUM(J631:J632)</f>
        <v>-4060888.2800000003</v>
      </c>
    </row>
    <row r="635" spans="1:15" ht="12.75" customHeight="1">
      <c r="A635" s="378" t="s">
        <v>1294</v>
      </c>
    </row>
    <row r="636" spans="1:15" ht="12.75" hidden="1" customHeight="1" outlineLevel="1">
      <c r="B636" s="384">
        <v>2025</v>
      </c>
      <c r="C636" s="384">
        <v>1</v>
      </c>
      <c r="D636" s="367" t="s">
        <v>5</v>
      </c>
      <c r="E636" s="367" t="s">
        <v>6</v>
      </c>
      <c r="F636" s="367" t="s">
        <v>1295</v>
      </c>
      <c r="G636" s="385">
        <v>45496</v>
      </c>
      <c r="H636" s="367" t="s">
        <v>12</v>
      </c>
      <c r="I636" s="368" t="str">
        <f>VLOOKUP(H636,'[2]Source Codes'!A$2:B$115,2,FALSE)</f>
        <v>AR Direct Cash Journal</v>
      </c>
      <c r="J636" s="412">
        <v>220000000</v>
      </c>
      <c r="K636" s="385">
        <v>45496</v>
      </c>
      <c r="L636" s="387" t="s">
        <v>522</v>
      </c>
      <c r="M636" s="388">
        <v>45496.75203703704</v>
      </c>
      <c r="N636" s="368" t="s">
        <v>360</v>
      </c>
      <c r="O636" s="368" t="s">
        <v>358</v>
      </c>
    </row>
    <row r="637" spans="1:15" ht="60" hidden="1" outlineLevel="1">
      <c r="B637" s="384">
        <v>2025</v>
      </c>
      <c r="C637" s="384">
        <v>1</v>
      </c>
      <c r="D637" s="367" t="s">
        <v>5</v>
      </c>
      <c r="E637" s="367" t="s">
        <v>6</v>
      </c>
      <c r="F637" s="367" t="s">
        <v>1296</v>
      </c>
      <c r="G637" s="385">
        <v>45491</v>
      </c>
      <c r="H637" s="367" t="s">
        <v>11</v>
      </c>
      <c r="I637" s="368" t="str">
        <f>VLOOKUP(H637,'[2]Source Codes'!A$2:B$115,2,FALSE)</f>
        <v>AR Payments</v>
      </c>
      <c r="J637" s="412">
        <v>4499558.8600000003</v>
      </c>
      <c r="K637" s="385">
        <v>45496</v>
      </c>
      <c r="L637" s="387" t="s">
        <v>1297</v>
      </c>
      <c r="M637" s="388">
        <v>45496.75203703704</v>
      </c>
      <c r="N637" s="368" t="s">
        <v>359</v>
      </c>
      <c r="O637" s="368" t="s">
        <v>392</v>
      </c>
    </row>
    <row r="638" spans="1:15" ht="12.75" customHeight="1" collapsed="1">
      <c r="J638" s="413">
        <f>SUM(J636:J637)</f>
        <v>224499558.86000001</v>
      </c>
    </row>
    <row r="640" spans="1:15" ht="12.75" customHeight="1">
      <c r="A640" s="378" t="s">
        <v>511</v>
      </c>
    </row>
    <row r="641" spans="1:15" ht="30" hidden="1" outlineLevel="1">
      <c r="B641" s="384">
        <v>2025</v>
      </c>
      <c r="C641" s="384">
        <v>1</v>
      </c>
      <c r="D641" s="367" t="s">
        <v>5</v>
      </c>
      <c r="E641" s="367" t="s">
        <v>6</v>
      </c>
      <c r="F641" s="367" t="s">
        <v>1298</v>
      </c>
      <c r="G641" s="385">
        <v>45496</v>
      </c>
      <c r="H641" s="367" t="s">
        <v>12</v>
      </c>
      <c r="I641" s="368" t="str">
        <f>VLOOKUP(H641,'[2]Source Codes'!A$2:B$115,2,FALSE)</f>
        <v>AR Direct Cash Journal</v>
      </c>
      <c r="J641" s="412">
        <v>8335680.9000000004</v>
      </c>
      <c r="K641" s="385">
        <v>45497</v>
      </c>
      <c r="L641" s="387" t="s">
        <v>1312</v>
      </c>
      <c r="M641" s="388">
        <v>45497.751886574071</v>
      </c>
      <c r="N641" s="368" t="s">
        <v>359</v>
      </c>
      <c r="O641" s="368" t="s">
        <v>362</v>
      </c>
    </row>
    <row r="642" spans="1:15" ht="12.75" hidden="1" customHeight="1" outlineLevel="1">
      <c r="B642" s="384">
        <v>2024</v>
      </c>
      <c r="C642" s="384">
        <v>12</v>
      </c>
      <c r="D642" s="367" t="s">
        <v>5</v>
      </c>
      <c r="E642" s="367" t="s">
        <v>6</v>
      </c>
      <c r="F642" s="367" t="s">
        <v>1299</v>
      </c>
      <c r="G642" s="385">
        <v>45473</v>
      </c>
      <c r="H642" s="367" t="s">
        <v>9</v>
      </c>
      <c r="I642" s="368" t="str">
        <f>VLOOKUP(H642,'[2]Source Codes'!A$2:B$115,2,FALSE)</f>
        <v>On Line Journal Entries</v>
      </c>
      <c r="J642" s="412">
        <v>1740305.96</v>
      </c>
      <c r="K642" s="385">
        <v>45497</v>
      </c>
      <c r="L642" s="387" t="s">
        <v>1300</v>
      </c>
      <c r="M642" s="388">
        <v>45497.869560185187</v>
      </c>
      <c r="N642" s="368" t="s">
        <v>360</v>
      </c>
      <c r="O642" s="368" t="s">
        <v>384</v>
      </c>
    </row>
    <row r="643" spans="1:15" ht="12.75" hidden="1" customHeight="1" outlineLevel="1">
      <c r="B643" s="384">
        <v>2025</v>
      </c>
      <c r="C643" s="384">
        <v>1</v>
      </c>
      <c r="D643" s="367" t="s">
        <v>5</v>
      </c>
      <c r="E643" s="367" t="s">
        <v>6</v>
      </c>
      <c r="F643" s="367" t="s">
        <v>1301</v>
      </c>
      <c r="G643" s="385">
        <v>45496</v>
      </c>
      <c r="H643" s="367" t="s">
        <v>9</v>
      </c>
      <c r="I643" s="368" t="str">
        <f>VLOOKUP(H643,'[2]Source Codes'!A$2:B$115,2,FALSE)</f>
        <v>On Line Journal Entries</v>
      </c>
      <c r="J643" s="412">
        <v>-1542083</v>
      </c>
      <c r="K643" s="385">
        <v>45497</v>
      </c>
      <c r="L643" s="387" t="s">
        <v>1307</v>
      </c>
      <c r="M643" s="388">
        <v>45497.869560185187</v>
      </c>
      <c r="N643" s="368" t="s">
        <v>359</v>
      </c>
      <c r="O643" s="368" t="s">
        <v>368</v>
      </c>
    </row>
    <row r="644" spans="1:15" ht="12.75" hidden="1" customHeight="1" outlineLevel="1">
      <c r="B644" s="384">
        <v>2025</v>
      </c>
      <c r="C644" s="384">
        <v>1</v>
      </c>
      <c r="D644" s="367" t="s">
        <v>5</v>
      </c>
      <c r="E644" s="367" t="s">
        <v>6</v>
      </c>
      <c r="F644" s="367" t="s">
        <v>1302</v>
      </c>
      <c r="G644" s="385">
        <v>45489</v>
      </c>
      <c r="H644" s="367" t="s">
        <v>9</v>
      </c>
      <c r="I644" s="368" t="str">
        <f>VLOOKUP(H644,'[2]Source Codes'!A$2:B$115,2,FALSE)</f>
        <v>On Line Journal Entries</v>
      </c>
      <c r="J644" s="412">
        <v>-1740305.96</v>
      </c>
      <c r="K644" s="385">
        <v>45497</v>
      </c>
      <c r="L644" s="387" t="s">
        <v>1308</v>
      </c>
      <c r="M644" s="388">
        <v>45497.869560185187</v>
      </c>
      <c r="N644" s="368" t="s">
        <v>360</v>
      </c>
      <c r="O644" s="368" t="s">
        <v>384</v>
      </c>
    </row>
    <row r="645" spans="1:15" ht="12.75" hidden="1" customHeight="1" outlineLevel="1">
      <c r="B645" s="384">
        <v>2025</v>
      </c>
      <c r="C645" s="384">
        <v>1</v>
      </c>
      <c r="D645" s="367" t="s">
        <v>5</v>
      </c>
      <c r="E645" s="367" t="s">
        <v>6</v>
      </c>
      <c r="F645" s="367" t="s">
        <v>1303</v>
      </c>
      <c r="G645" s="385">
        <v>45497</v>
      </c>
      <c r="H645" s="367" t="s">
        <v>7</v>
      </c>
      <c r="I645" s="368" t="str">
        <f>VLOOKUP(H645,'[2]Source Codes'!A$2:B$115,2,FALSE)</f>
        <v>HRMS Interface Journals</v>
      </c>
      <c r="J645" s="412">
        <v>-1868266.07</v>
      </c>
      <c r="K645" s="385">
        <v>45497</v>
      </c>
      <c r="L645" s="387" t="s">
        <v>407</v>
      </c>
      <c r="M645" s="388">
        <v>45497.713159722225</v>
      </c>
      <c r="N645" s="368" t="s">
        <v>378</v>
      </c>
      <c r="O645" s="368" t="s">
        <v>379</v>
      </c>
    </row>
    <row r="646" spans="1:15" ht="12.75" hidden="1" customHeight="1" outlineLevel="1">
      <c r="B646" s="384">
        <v>2025</v>
      </c>
      <c r="C646" s="384">
        <v>1</v>
      </c>
      <c r="D646" s="367" t="s">
        <v>5</v>
      </c>
      <c r="E646" s="367" t="s">
        <v>6</v>
      </c>
      <c r="F646" s="367" t="s">
        <v>1304</v>
      </c>
      <c r="G646" s="385">
        <v>45484</v>
      </c>
      <c r="H646" s="367" t="s">
        <v>337</v>
      </c>
      <c r="I646" s="368" t="str">
        <f>VLOOKUP(H646,'[2]Source Codes'!A$2:B$115,2,FALSE)</f>
        <v>Facilities Mngmnt Intfc Jrnls</v>
      </c>
      <c r="J646" s="412">
        <v>-4102542.2</v>
      </c>
      <c r="K646" s="385">
        <v>45497</v>
      </c>
      <c r="L646" s="387" t="s">
        <v>1309</v>
      </c>
      <c r="M646" s="388">
        <v>45497.869641203702</v>
      </c>
      <c r="N646" s="368" t="s">
        <v>359</v>
      </c>
      <c r="O646" s="368" t="s">
        <v>367</v>
      </c>
    </row>
    <row r="647" spans="1:15" ht="12.75" hidden="1" customHeight="1" outlineLevel="1">
      <c r="B647" s="384">
        <v>2025</v>
      </c>
      <c r="C647" s="384">
        <v>1</v>
      </c>
      <c r="D647" s="367" t="s">
        <v>5</v>
      </c>
      <c r="E647" s="367" t="s">
        <v>6</v>
      </c>
      <c r="F647" s="367" t="s">
        <v>1305</v>
      </c>
      <c r="G647" s="385">
        <v>45476</v>
      </c>
      <c r="H647" s="367" t="s">
        <v>337</v>
      </c>
      <c r="I647" s="368" t="str">
        <f>VLOOKUP(H647,'[2]Source Codes'!A$2:B$115,2,FALSE)</f>
        <v>Facilities Mngmnt Intfc Jrnls</v>
      </c>
      <c r="J647" s="412">
        <v>-4119949.47</v>
      </c>
      <c r="K647" s="385">
        <v>45497</v>
      </c>
      <c r="L647" s="387" t="s">
        <v>1310</v>
      </c>
      <c r="M647" s="388">
        <v>45497.869641203702</v>
      </c>
      <c r="N647" s="368" t="s">
        <v>359</v>
      </c>
      <c r="O647" s="368" t="s">
        <v>367</v>
      </c>
    </row>
    <row r="648" spans="1:15" ht="12.75" hidden="1" customHeight="1" outlineLevel="1">
      <c r="B648" s="384">
        <v>2025</v>
      </c>
      <c r="C648" s="384">
        <v>1</v>
      </c>
      <c r="D648" s="367" t="s">
        <v>5</v>
      </c>
      <c r="E648" s="367" t="s">
        <v>6</v>
      </c>
      <c r="F648" s="367" t="s">
        <v>1306</v>
      </c>
      <c r="G648" s="385">
        <v>45474</v>
      </c>
      <c r="H648" s="367" t="s">
        <v>9</v>
      </c>
      <c r="I648" s="368" t="str">
        <f>VLOOKUP(H648,'[2]Source Codes'!A$2:B$115,2,FALSE)</f>
        <v>On Line Journal Entries</v>
      </c>
      <c r="J648" s="412">
        <v>-5075223.83</v>
      </c>
      <c r="K648" s="385">
        <v>45497</v>
      </c>
      <c r="L648" s="387" t="s">
        <v>1311</v>
      </c>
      <c r="M648" s="388">
        <v>45497.869560185187</v>
      </c>
      <c r="N648" s="368" t="s">
        <v>359</v>
      </c>
      <c r="O648" s="368" t="s">
        <v>374</v>
      </c>
    </row>
    <row r="649" spans="1:15" ht="12.75" customHeight="1" collapsed="1">
      <c r="J649" s="413">
        <f>SUM(J641:J648)</f>
        <v>-8372383.6700000018</v>
      </c>
    </row>
    <row r="651" spans="1:15" ht="12.75" customHeight="1">
      <c r="A651" s="378" t="s">
        <v>1313</v>
      </c>
    </row>
    <row r="652" spans="1:15" ht="30" hidden="1" outlineLevel="1">
      <c r="B652" s="384">
        <v>2025</v>
      </c>
      <c r="C652" s="384">
        <v>1</v>
      </c>
      <c r="D652" s="367" t="s">
        <v>5</v>
      </c>
      <c r="E652" s="367" t="s">
        <v>6</v>
      </c>
      <c r="F652" s="367" t="s">
        <v>1314</v>
      </c>
      <c r="G652" s="385">
        <v>45498</v>
      </c>
      <c r="H652" s="367" t="s">
        <v>14</v>
      </c>
      <c r="I652" s="368" t="str">
        <f>VLOOKUP(H652,'[2]Source Codes'!A$2:B$115,2,FALSE)</f>
        <v>AP Warrant Issuance</v>
      </c>
      <c r="J652" s="412">
        <v>-2130586.12</v>
      </c>
      <c r="K652" s="385">
        <v>45498</v>
      </c>
      <c r="L652" s="387" t="s">
        <v>1322</v>
      </c>
      <c r="M652" s="388">
        <v>45498.793819444443</v>
      </c>
      <c r="N652" s="368" t="s">
        <v>359</v>
      </c>
      <c r="O652" s="368" t="s">
        <v>368</v>
      </c>
    </row>
    <row r="653" spans="1:15" ht="30" hidden="1" outlineLevel="1">
      <c r="B653" s="384">
        <v>2025</v>
      </c>
      <c r="C653" s="384">
        <v>1</v>
      </c>
      <c r="D653" s="367" t="s">
        <v>5</v>
      </c>
      <c r="E653" s="367" t="s">
        <v>6</v>
      </c>
      <c r="F653" s="367" t="s">
        <v>1315</v>
      </c>
      <c r="G653" s="385">
        <v>45502</v>
      </c>
      <c r="H653" s="367" t="s">
        <v>14</v>
      </c>
      <c r="I653" s="368" t="str">
        <f>VLOOKUP(H653,'[2]Source Codes'!A$2:B$115,2,FALSE)</f>
        <v>AP Warrant Issuance</v>
      </c>
      <c r="J653" s="412">
        <v>-1433074.91</v>
      </c>
      <c r="K653" s="385">
        <v>45498</v>
      </c>
      <c r="L653" s="387" t="s">
        <v>1323</v>
      </c>
      <c r="M653" s="388">
        <v>45498.793819444443</v>
      </c>
      <c r="N653" s="368" t="s">
        <v>359</v>
      </c>
      <c r="O653" s="368" t="s">
        <v>368</v>
      </c>
    </row>
    <row r="654" spans="1:15" ht="30" hidden="1" outlineLevel="1">
      <c r="B654" s="384">
        <v>2025</v>
      </c>
      <c r="C654" s="384">
        <v>1</v>
      </c>
      <c r="D654" s="367" t="s">
        <v>5</v>
      </c>
      <c r="E654" s="367" t="s">
        <v>6</v>
      </c>
      <c r="F654" s="367" t="s">
        <v>1316</v>
      </c>
      <c r="G654" s="385">
        <v>45498</v>
      </c>
      <c r="H654" s="367" t="s">
        <v>12</v>
      </c>
      <c r="I654" s="368" t="str">
        <f>VLOOKUP(H654,'[2]Source Codes'!A$2:B$115,2,FALSE)</f>
        <v>AR Direct Cash Journal</v>
      </c>
      <c r="J654" s="412">
        <v>3936421.08</v>
      </c>
      <c r="K654" s="385">
        <v>45498</v>
      </c>
      <c r="L654" s="387" t="s">
        <v>1171</v>
      </c>
      <c r="M654" s="388">
        <v>45498.752025462964</v>
      </c>
      <c r="N654" s="368" t="s">
        <v>359</v>
      </c>
      <c r="O654" s="368" t="s">
        <v>371</v>
      </c>
    </row>
    <row r="655" spans="1:15" ht="60" hidden="1" outlineLevel="1">
      <c r="B655" s="384">
        <v>2025</v>
      </c>
      <c r="C655" s="384">
        <v>1</v>
      </c>
      <c r="D655" s="367" t="s">
        <v>5</v>
      </c>
      <c r="E655" s="367" t="s">
        <v>6</v>
      </c>
      <c r="F655" s="367" t="s">
        <v>1317</v>
      </c>
      <c r="G655" s="385">
        <v>45498</v>
      </c>
      <c r="H655" s="367" t="s">
        <v>11</v>
      </c>
      <c r="I655" s="368" t="str">
        <f>VLOOKUP(H655,'[2]Source Codes'!A$2:B$115,2,FALSE)</f>
        <v>AR Payments</v>
      </c>
      <c r="J655" s="412">
        <v>1302682.3600000001</v>
      </c>
      <c r="K655" s="385">
        <v>45498</v>
      </c>
      <c r="L655" s="387" t="s">
        <v>1324</v>
      </c>
      <c r="M655" s="388">
        <v>45498.752025462964</v>
      </c>
      <c r="N655" s="368" t="s">
        <v>359</v>
      </c>
      <c r="O655" s="368" t="s">
        <v>392</v>
      </c>
    </row>
    <row r="656" spans="1:15" ht="12.75" hidden="1" customHeight="1" outlineLevel="1">
      <c r="B656" s="384">
        <v>2024</v>
      </c>
      <c r="C656" s="384">
        <v>12</v>
      </c>
      <c r="D656" s="367" t="s">
        <v>5</v>
      </c>
      <c r="E656" s="367" t="s">
        <v>6</v>
      </c>
      <c r="F656" s="367" t="s">
        <v>1318</v>
      </c>
      <c r="G656" s="385">
        <v>45473</v>
      </c>
      <c r="H656" s="367" t="s">
        <v>16</v>
      </c>
      <c r="I656" s="368" t="str">
        <f>VLOOKUP(H656,'[2]Source Codes'!A$2:B$115,2,FALSE)</f>
        <v>Property Tax Interface</v>
      </c>
      <c r="J656" s="412">
        <v>2743252.32</v>
      </c>
      <c r="K656" s="385">
        <v>45498</v>
      </c>
      <c r="L656" s="387" t="s">
        <v>1320</v>
      </c>
      <c r="M656" s="388">
        <v>45498.569363425922</v>
      </c>
      <c r="N656" s="368" t="s">
        <v>387</v>
      </c>
      <c r="O656" s="368" t="s">
        <v>384</v>
      </c>
    </row>
    <row r="657" spans="1:15" ht="12.75" hidden="1" customHeight="1" outlineLevel="1">
      <c r="B657" s="384">
        <v>2024</v>
      </c>
      <c r="C657" s="384">
        <v>12</v>
      </c>
      <c r="D657" s="367" t="s">
        <v>5</v>
      </c>
      <c r="E657" s="367" t="s">
        <v>6</v>
      </c>
      <c r="F657" s="367" t="s">
        <v>1319</v>
      </c>
      <c r="G657" s="385">
        <v>45473</v>
      </c>
      <c r="H657" s="367" t="s">
        <v>16</v>
      </c>
      <c r="I657" s="368" t="str">
        <f>VLOOKUP(H657,'[2]Source Codes'!A$2:B$115,2,FALSE)</f>
        <v>Property Tax Interface</v>
      </c>
      <c r="J657" s="412">
        <v>1517231.74</v>
      </c>
      <c r="K657" s="385">
        <v>45498</v>
      </c>
      <c r="L657" s="387" t="s">
        <v>1321</v>
      </c>
      <c r="M657" s="388">
        <v>45498.608726851853</v>
      </c>
      <c r="N657" s="368" t="s">
        <v>387</v>
      </c>
      <c r="O657" s="368" t="s">
        <v>384</v>
      </c>
    </row>
    <row r="658" spans="1:15" ht="12.75" customHeight="1" collapsed="1">
      <c r="J658" s="413">
        <f>SUM(J652:J657)</f>
        <v>5935926.4699999997</v>
      </c>
    </row>
    <row r="660" spans="1:15" ht="12.75" customHeight="1">
      <c r="A660" s="378" t="s">
        <v>1325</v>
      </c>
    </row>
    <row r="661" spans="1:15" ht="30" hidden="1" outlineLevel="1">
      <c r="B661" s="384">
        <v>2025</v>
      </c>
      <c r="C661" s="384">
        <v>1</v>
      </c>
      <c r="D661" s="367" t="s">
        <v>5</v>
      </c>
      <c r="E661" s="367" t="s">
        <v>6</v>
      </c>
      <c r="F661" s="367" t="s">
        <v>1326</v>
      </c>
      <c r="G661" s="385">
        <v>45499</v>
      </c>
      <c r="H661" s="367" t="s">
        <v>14</v>
      </c>
      <c r="I661" s="368" t="str">
        <f>VLOOKUP(H661,'[2]Source Codes'!A$2:B$115,2,FALSE)</f>
        <v>AP Warrant Issuance</v>
      </c>
      <c r="J661" s="412">
        <v>-1372487.64</v>
      </c>
      <c r="K661" s="385">
        <v>45499</v>
      </c>
      <c r="L661" s="387" t="s">
        <v>1331</v>
      </c>
      <c r="M661" s="388">
        <v>45499.79315972222</v>
      </c>
      <c r="N661" s="368" t="s">
        <v>359</v>
      </c>
      <c r="O661" s="368" t="s">
        <v>368</v>
      </c>
    </row>
    <row r="662" spans="1:15" ht="12.75" hidden="1" customHeight="1" outlineLevel="1">
      <c r="B662" s="384">
        <v>2024</v>
      </c>
      <c r="C662" s="384">
        <v>12</v>
      </c>
      <c r="D662" s="367" t="s">
        <v>5</v>
      </c>
      <c r="E662" s="367" t="s">
        <v>6</v>
      </c>
      <c r="F662" s="367" t="s">
        <v>1327</v>
      </c>
      <c r="G662" s="385">
        <v>45473</v>
      </c>
      <c r="H662" s="367" t="s">
        <v>110</v>
      </c>
      <c r="I662" s="368" t="str">
        <f>VLOOKUP(H662,'[2]Source Codes'!A$2:B$115,2,FALSE)</f>
        <v>Treasurers Interest Apportion</v>
      </c>
      <c r="J662" s="412">
        <v>3140893.17</v>
      </c>
      <c r="K662" s="385">
        <v>45499</v>
      </c>
      <c r="L662" s="387" t="s">
        <v>1329</v>
      </c>
      <c r="M662" s="388">
        <v>45499.47997685185</v>
      </c>
      <c r="N662" s="368" t="s">
        <v>361</v>
      </c>
      <c r="O662" s="368" t="s">
        <v>371</v>
      </c>
    </row>
    <row r="663" spans="1:15" ht="30" hidden="1" outlineLevel="1">
      <c r="B663" s="384">
        <v>2024</v>
      </c>
      <c r="C663" s="384">
        <v>12</v>
      </c>
      <c r="D663" s="367" t="s">
        <v>5</v>
      </c>
      <c r="E663" s="367" t="s">
        <v>6</v>
      </c>
      <c r="F663" s="367" t="s">
        <v>1328</v>
      </c>
      <c r="G663" s="385">
        <v>45473</v>
      </c>
      <c r="H663" s="367" t="s">
        <v>9</v>
      </c>
      <c r="I663" s="368" t="str">
        <f>VLOOKUP(H663,'[2]Source Codes'!A$2:B$115,2,FALSE)</f>
        <v>On Line Journal Entries</v>
      </c>
      <c r="J663" s="412">
        <v>-1941000</v>
      </c>
      <c r="K663" s="385">
        <v>45499</v>
      </c>
      <c r="L663" s="387" t="s">
        <v>1330</v>
      </c>
      <c r="M663" s="388">
        <v>45499.435624999998</v>
      </c>
      <c r="N663" s="368" t="s">
        <v>360</v>
      </c>
      <c r="O663" s="368" t="s">
        <v>358</v>
      </c>
    </row>
    <row r="664" spans="1:15" ht="12.75" customHeight="1" collapsed="1">
      <c r="J664" s="413">
        <f>SUM(J661:J663)</f>
        <v>-172594.46999999997</v>
      </c>
    </row>
    <row r="666" spans="1:15" ht="12.75" customHeight="1">
      <c r="A666" s="378" t="s">
        <v>1332</v>
      </c>
    </row>
    <row r="667" spans="1:15" ht="30" hidden="1" outlineLevel="1">
      <c r="B667" s="384">
        <v>2025</v>
      </c>
      <c r="C667" s="384">
        <v>1</v>
      </c>
      <c r="D667" s="367" t="s">
        <v>5</v>
      </c>
      <c r="E667" s="367" t="s">
        <v>6</v>
      </c>
      <c r="F667" s="367" t="s">
        <v>1333</v>
      </c>
      <c r="G667" s="385">
        <v>45504</v>
      </c>
      <c r="H667" s="367" t="s">
        <v>14</v>
      </c>
      <c r="I667" s="368" t="str">
        <f>VLOOKUP(H667,'[2]Source Codes'!A$2:B$115,2,FALSE)</f>
        <v>AP Warrant Issuance</v>
      </c>
      <c r="J667" s="412">
        <v>-3842122.88</v>
      </c>
      <c r="K667" s="385">
        <v>45502</v>
      </c>
      <c r="L667" s="387" t="s">
        <v>1338</v>
      </c>
      <c r="M667" s="388">
        <v>45502.79383101852</v>
      </c>
      <c r="N667" s="368" t="s">
        <v>359</v>
      </c>
      <c r="O667" s="368" t="s">
        <v>368</v>
      </c>
    </row>
    <row r="668" spans="1:15" ht="30" hidden="1" outlineLevel="1">
      <c r="B668" s="384">
        <v>2025</v>
      </c>
      <c r="C668" s="384">
        <v>1</v>
      </c>
      <c r="D668" s="367" t="s">
        <v>5</v>
      </c>
      <c r="E668" s="367" t="s">
        <v>6</v>
      </c>
      <c r="F668" s="367" t="s">
        <v>1334</v>
      </c>
      <c r="G668" s="385">
        <v>45502</v>
      </c>
      <c r="H668" s="367" t="s">
        <v>14</v>
      </c>
      <c r="I668" s="368" t="str">
        <f>VLOOKUP(H668,'[2]Source Codes'!A$2:B$115,2,FALSE)</f>
        <v>AP Warrant Issuance</v>
      </c>
      <c r="J668" s="412">
        <v>-2192454.88</v>
      </c>
      <c r="K668" s="385">
        <v>45502</v>
      </c>
      <c r="L668" s="387" t="s">
        <v>1339</v>
      </c>
      <c r="M668" s="388">
        <v>45502.79383101852</v>
      </c>
      <c r="N668" s="368" t="s">
        <v>359</v>
      </c>
      <c r="O668" s="368" t="s">
        <v>368</v>
      </c>
    </row>
    <row r="669" spans="1:15" ht="30" hidden="1" outlineLevel="1">
      <c r="B669" s="384">
        <v>2025</v>
      </c>
      <c r="C669" s="384">
        <v>1</v>
      </c>
      <c r="D669" s="367" t="s">
        <v>5</v>
      </c>
      <c r="E669" s="367" t="s">
        <v>6</v>
      </c>
      <c r="F669" s="367" t="s">
        <v>1335</v>
      </c>
      <c r="G669" s="385">
        <v>45502</v>
      </c>
      <c r="H669" s="367" t="s">
        <v>11</v>
      </c>
      <c r="I669" s="368" t="str">
        <f>VLOOKUP(H669,'[2]Source Codes'!A$2:B$115,2,FALSE)</f>
        <v>AR Payments</v>
      </c>
      <c r="J669" s="412">
        <v>1559262.78</v>
      </c>
      <c r="K669" s="385">
        <v>45502</v>
      </c>
      <c r="L669" s="387" t="s">
        <v>505</v>
      </c>
      <c r="M669" s="388">
        <v>45502.751643518517</v>
      </c>
      <c r="N669" s="368" t="s">
        <v>359</v>
      </c>
      <c r="O669" s="368" t="s">
        <v>392</v>
      </c>
    </row>
    <row r="670" spans="1:15" ht="30" hidden="1" outlineLevel="1">
      <c r="B670" s="384">
        <v>2024</v>
      </c>
      <c r="C670" s="384">
        <v>12</v>
      </c>
      <c r="D670" s="367" t="s">
        <v>5</v>
      </c>
      <c r="E670" s="367" t="s">
        <v>6</v>
      </c>
      <c r="F670" s="367" t="s">
        <v>1336</v>
      </c>
      <c r="G670" s="385">
        <v>45473</v>
      </c>
      <c r="H670" s="367" t="s">
        <v>9</v>
      </c>
      <c r="I670" s="368" t="str">
        <f>VLOOKUP(H670,'[2]Source Codes'!A$2:B$115,2,FALSE)</f>
        <v>On Line Journal Entries</v>
      </c>
      <c r="J670" s="412">
        <v>1121488.49</v>
      </c>
      <c r="K670" s="385">
        <v>45502</v>
      </c>
      <c r="L670" s="387" t="s">
        <v>1337</v>
      </c>
      <c r="M670" s="388">
        <v>45502.869513888887</v>
      </c>
      <c r="N670" s="368" t="s">
        <v>361</v>
      </c>
      <c r="O670" s="368" t="s">
        <v>510</v>
      </c>
    </row>
    <row r="671" spans="1:15" ht="12.75" customHeight="1" collapsed="1">
      <c r="J671" s="413">
        <f>SUM(J667:J670)</f>
        <v>-3353826.4899999993</v>
      </c>
    </row>
    <row r="673" spans="1:15" ht="12.75" customHeight="1">
      <c r="A673" s="378" t="s">
        <v>1340</v>
      </c>
    </row>
    <row r="674" spans="1:15" ht="30" hidden="1" outlineLevel="1">
      <c r="B674" s="384">
        <v>2025</v>
      </c>
      <c r="C674" s="384">
        <v>1</v>
      </c>
      <c r="D674" s="367" t="s">
        <v>5</v>
      </c>
      <c r="E674" s="367" t="s">
        <v>6</v>
      </c>
      <c r="F674" s="367" t="s">
        <v>1341</v>
      </c>
      <c r="G674" s="385">
        <v>45503</v>
      </c>
      <c r="H674" s="367" t="s">
        <v>14</v>
      </c>
      <c r="I674" s="368" t="str">
        <f>VLOOKUP(H674,'[2]Source Codes'!A$2:B$115,2,FALSE)</f>
        <v>AP Warrant Issuance</v>
      </c>
      <c r="J674" s="412">
        <v>-1163112.5900000001</v>
      </c>
      <c r="K674" s="385">
        <v>45503</v>
      </c>
      <c r="L674" s="387" t="s">
        <v>1347</v>
      </c>
      <c r="M674" s="388">
        <v>45503.793854166666</v>
      </c>
      <c r="N674" s="368" t="s">
        <v>359</v>
      </c>
      <c r="O674" s="368" t="s">
        <v>357</v>
      </c>
    </row>
    <row r="675" spans="1:15" ht="30" hidden="1" outlineLevel="1">
      <c r="B675" s="384">
        <v>2025</v>
      </c>
      <c r="C675" s="384">
        <v>2</v>
      </c>
      <c r="D675" s="367" t="s">
        <v>5</v>
      </c>
      <c r="E675" s="367" t="s">
        <v>6</v>
      </c>
      <c r="F675" s="367" t="s">
        <v>1342</v>
      </c>
      <c r="G675" s="385">
        <v>45505</v>
      </c>
      <c r="H675" s="367" t="s">
        <v>14</v>
      </c>
      <c r="I675" s="368" t="str">
        <f>VLOOKUP(H675,'[2]Source Codes'!A$2:B$115,2,FALSE)</f>
        <v>AP Warrant Issuance</v>
      </c>
      <c r="J675" s="412">
        <v>-1128746.7</v>
      </c>
      <c r="K675" s="385">
        <v>45503</v>
      </c>
      <c r="L675" s="387" t="s">
        <v>1348</v>
      </c>
      <c r="M675" s="388">
        <v>45503.793854166666</v>
      </c>
      <c r="N675" s="368" t="s">
        <v>359</v>
      </c>
      <c r="O675" s="368" t="s">
        <v>368</v>
      </c>
    </row>
    <row r="676" spans="1:15" ht="30" hidden="1" outlineLevel="1">
      <c r="B676" s="384">
        <v>2025</v>
      </c>
      <c r="C676" s="384">
        <v>1</v>
      </c>
      <c r="D676" s="367" t="s">
        <v>5</v>
      </c>
      <c r="E676" s="367" t="s">
        <v>6</v>
      </c>
      <c r="F676" s="367" t="s">
        <v>1343</v>
      </c>
      <c r="G676" s="385">
        <v>45503</v>
      </c>
      <c r="H676" s="367" t="s">
        <v>14</v>
      </c>
      <c r="I676" s="368" t="str">
        <f>VLOOKUP(H676,'[2]Source Codes'!A$2:B$115,2,FALSE)</f>
        <v>AP Warrant Issuance</v>
      </c>
      <c r="J676" s="412">
        <v>-1067162.18</v>
      </c>
      <c r="K676" s="385">
        <v>45503</v>
      </c>
      <c r="L676" s="387" t="s">
        <v>1349</v>
      </c>
      <c r="M676" s="388">
        <v>45503.793854166666</v>
      </c>
      <c r="N676" s="368" t="s">
        <v>359</v>
      </c>
      <c r="O676" s="368" t="s">
        <v>368</v>
      </c>
    </row>
    <row r="677" spans="1:15" ht="38.25" hidden="1" customHeight="1" outlineLevel="1">
      <c r="B677" s="384">
        <v>2025</v>
      </c>
      <c r="C677" s="384">
        <v>1</v>
      </c>
      <c r="D677" s="367" t="s">
        <v>5</v>
      </c>
      <c r="E677" s="367" t="s">
        <v>6</v>
      </c>
      <c r="F677" s="367" t="s">
        <v>1344</v>
      </c>
      <c r="G677" s="385">
        <v>45503</v>
      </c>
      <c r="H677" s="367" t="s">
        <v>11</v>
      </c>
      <c r="I677" s="368" t="str">
        <f>VLOOKUP(H677,'[2]Source Codes'!A$2:B$115,2,FALSE)</f>
        <v>AR Payments</v>
      </c>
      <c r="J677" s="412">
        <v>1494334.48</v>
      </c>
      <c r="K677" s="385">
        <v>45503</v>
      </c>
      <c r="L677" s="387" t="s">
        <v>1350</v>
      </c>
      <c r="M677" s="388">
        <v>45503.751932870371</v>
      </c>
      <c r="N677" s="368" t="s">
        <v>359</v>
      </c>
      <c r="O677" s="368" t="s">
        <v>357</v>
      </c>
    </row>
    <row r="678" spans="1:15" ht="15" hidden="1" outlineLevel="1">
      <c r="B678" s="384">
        <v>2024</v>
      </c>
      <c r="C678" s="384">
        <v>12</v>
      </c>
      <c r="D678" s="367" t="s">
        <v>5</v>
      </c>
      <c r="E678" s="367" t="s">
        <v>6</v>
      </c>
      <c r="F678" s="367" t="s">
        <v>1345</v>
      </c>
      <c r="G678" s="385">
        <v>45473</v>
      </c>
      <c r="H678" s="367" t="s">
        <v>9</v>
      </c>
      <c r="I678" s="368" t="str">
        <f>VLOOKUP(H678,'[2]Source Codes'!A$2:B$115,2,FALSE)</f>
        <v>On Line Journal Entries</v>
      </c>
      <c r="J678" s="412">
        <v>-8722809</v>
      </c>
      <c r="K678" s="385">
        <v>45503</v>
      </c>
      <c r="L678" s="387" t="s">
        <v>1346</v>
      </c>
      <c r="M678" s="388">
        <v>45503.869456018518</v>
      </c>
      <c r="N678" s="368" t="s">
        <v>506</v>
      </c>
      <c r="O678" s="368" t="s">
        <v>358</v>
      </c>
    </row>
    <row r="679" spans="1:15" ht="12.75" customHeight="1" collapsed="1">
      <c r="J679" s="413">
        <f>SUM(J674:J678)</f>
        <v>-10587495.99</v>
      </c>
    </row>
    <row r="681" spans="1:15" ht="12.75" customHeight="1">
      <c r="A681" s="378" t="s">
        <v>1351</v>
      </c>
    </row>
    <row r="682" spans="1:15" ht="45" hidden="1" outlineLevel="1">
      <c r="B682" s="384">
        <v>2025</v>
      </c>
      <c r="C682" s="384">
        <v>1</v>
      </c>
      <c r="D682" s="367" t="s">
        <v>5</v>
      </c>
      <c r="E682" s="367" t="s">
        <v>6</v>
      </c>
      <c r="F682" s="367" t="s">
        <v>1352</v>
      </c>
      <c r="G682" s="385">
        <v>45497</v>
      </c>
      <c r="H682" s="367" t="s">
        <v>11</v>
      </c>
      <c r="I682" s="368" t="str">
        <f>VLOOKUP(H682,'[2]Source Codes'!A$2:B$115,2,FALSE)</f>
        <v>AR Payments</v>
      </c>
      <c r="J682" s="412">
        <v>3188453.06</v>
      </c>
      <c r="K682" s="385">
        <v>45504</v>
      </c>
      <c r="L682" s="387" t="s">
        <v>1359</v>
      </c>
      <c r="M682" s="388">
        <v>45504.75209490741</v>
      </c>
      <c r="N682" s="368" t="s">
        <v>359</v>
      </c>
      <c r="O682" s="368" t="s">
        <v>357</v>
      </c>
    </row>
    <row r="683" spans="1:15" ht="60" hidden="1" outlineLevel="1">
      <c r="B683" s="384">
        <v>2025</v>
      </c>
      <c r="C683" s="384">
        <v>1</v>
      </c>
      <c r="D683" s="367" t="s">
        <v>5</v>
      </c>
      <c r="E683" s="367" t="s">
        <v>6</v>
      </c>
      <c r="F683" s="367" t="s">
        <v>1353</v>
      </c>
      <c r="G683" s="385">
        <v>45499</v>
      </c>
      <c r="H683" s="367" t="s">
        <v>12</v>
      </c>
      <c r="I683" s="368" t="str">
        <f>VLOOKUP(H683,'[2]Source Codes'!A$2:B$115,2,FALSE)</f>
        <v>AR Direct Cash Journal</v>
      </c>
      <c r="J683" s="412">
        <v>-236617822</v>
      </c>
      <c r="K683" s="385">
        <v>45504</v>
      </c>
      <c r="L683" s="387" t="s">
        <v>1358</v>
      </c>
      <c r="M683" s="388">
        <v>45504.75209490741</v>
      </c>
      <c r="N683" s="368" t="s">
        <v>506</v>
      </c>
      <c r="O683" s="368" t="s">
        <v>358</v>
      </c>
    </row>
    <row r="684" spans="1:15" ht="12.75" hidden="1" customHeight="1" outlineLevel="1">
      <c r="B684" s="384">
        <v>2025</v>
      </c>
      <c r="C684" s="384">
        <v>1</v>
      </c>
      <c r="D684" s="367" t="s">
        <v>5</v>
      </c>
      <c r="E684" s="367" t="s">
        <v>6</v>
      </c>
      <c r="F684" s="367" t="s">
        <v>1354</v>
      </c>
      <c r="G684" s="385">
        <v>45497</v>
      </c>
      <c r="H684" s="367" t="s">
        <v>7</v>
      </c>
      <c r="I684" s="368" t="str">
        <f>VLOOKUP(H684,'[2]Source Codes'!A$2:B$115,2,FALSE)</f>
        <v>HRMS Interface Journals</v>
      </c>
      <c r="J684" s="412">
        <v>-1922656.9</v>
      </c>
      <c r="K684" s="385">
        <v>45504</v>
      </c>
      <c r="L684" s="387" t="s">
        <v>350</v>
      </c>
      <c r="M684" s="388">
        <v>45504.334814814814</v>
      </c>
      <c r="N684" s="368" t="s">
        <v>378</v>
      </c>
      <c r="O684" s="368" t="s">
        <v>379</v>
      </c>
    </row>
    <row r="685" spans="1:15" ht="12.75" hidden="1" customHeight="1" outlineLevel="1">
      <c r="B685" s="384">
        <v>2024</v>
      </c>
      <c r="C685" s="384">
        <v>12</v>
      </c>
      <c r="D685" s="367" t="s">
        <v>5</v>
      </c>
      <c r="E685" s="367" t="s">
        <v>6</v>
      </c>
      <c r="F685" s="367" t="s">
        <v>1355</v>
      </c>
      <c r="G685" s="385">
        <v>45473</v>
      </c>
      <c r="H685" s="367" t="s">
        <v>337</v>
      </c>
      <c r="I685" s="368" t="str">
        <f>VLOOKUP(H685,'[2]Source Codes'!A$2:B$115,2,FALSE)</f>
        <v>Facilities Mngmnt Intfc Jrnls</v>
      </c>
      <c r="J685" s="412">
        <v>-3946636</v>
      </c>
      <c r="K685" s="385">
        <v>45504</v>
      </c>
      <c r="L685" s="387" t="s">
        <v>1357</v>
      </c>
      <c r="M685" s="388">
        <v>45504.676898148151</v>
      </c>
      <c r="N685" s="368" t="s">
        <v>359</v>
      </c>
      <c r="O685" s="368" t="s">
        <v>367</v>
      </c>
    </row>
    <row r="686" spans="1:15" ht="12.75" hidden="1" customHeight="1" outlineLevel="1">
      <c r="B686" s="384">
        <v>2025</v>
      </c>
      <c r="C686" s="384">
        <v>1</v>
      </c>
      <c r="D686" s="367" t="s">
        <v>5</v>
      </c>
      <c r="E686" s="367" t="s">
        <v>6</v>
      </c>
      <c r="F686" s="367" t="s">
        <v>1356</v>
      </c>
      <c r="G686" s="385">
        <v>45497</v>
      </c>
      <c r="H686" s="367" t="s">
        <v>7</v>
      </c>
      <c r="I686" s="368" t="str">
        <f>VLOOKUP(H686,'[2]Source Codes'!A$2:B$115,2,FALSE)</f>
        <v>HRMS Interface Journals</v>
      </c>
      <c r="J686" s="412">
        <v>-12560287.15</v>
      </c>
      <c r="K686" s="385">
        <v>45504</v>
      </c>
      <c r="L686" s="387" t="s">
        <v>348</v>
      </c>
      <c r="M686" s="388">
        <v>45504.621620370373</v>
      </c>
      <c r="N686" s="368" t="s">
        <v>378</v>
      </c>
      <c r="O686" s="368" t="s">
        <v>379</v>
      </c>
    </row>
    <row r="687" spans="1:15" ht="12.75" customHeight="1" collapsed="1">
      <c r="J687" s="413">
        <f>SUM(J682:J686)</f>
        <v>-251858948.99000001</v>
      </c>
    </row>
    <row r="689" spans="1:15" ht="12.75" customHeight="1">
      <c r="A689" s="378" t="s">
        <v>1360</v>
      </c>
    </row>
    <row r="690" spans="1:15" ht="30" hidden="1" outlineLevel="1">
      <c r="B690" s="384">
        <v>2024</v>
      </c>
      <c r="C690" s="384">
        <v>12</v>
      </c>
      <c r="D690" s="367" t="s">
        <v>5</v>
      </c>
      <c r="E690" s="367" t="s">
        <v>6</v>
      </c>
      <c r="F690" s="367" t="s">
        <v>1366</v>
      </c>
      <c r="G690" s="385">
        <v>45473</v>
      </c>
      <c r="H690" s="367" t="s">
        <v>9</v>
      </c>
      <c r="I690" s="368" t="str">
        <f>VLOOKUP(H690,'[2]Source Codes'!A$2:B$115,2,FALSE)</f>
        <v>On Line Journal Entries</v>
      </c>
      <c r="J690" s="412">
        <v>-2800000</v>
      </c>
      <c r="K690" s="385">
        <v>45505</v>
      </c>
      <c r="L690" s="387" t="s">
        <v>1371</v>
      </c>
      <c r="M690" s="388">
        <v>45505.372719907406</v>
      </c>
      <c r="N690" s="368" t="s">
        <v>360</v>
      </c>
      <c r="O690" s="368" t="s">
        <v>358</v>
      </c>
    </row>
    <row r="691" spans="1:15" ht="30" hidden="1" outlineLevel="1">
      <c r="B691" s="384">
        <v>2024</v>
      </c>
      <c r="C691" s="384">
        <v>12</v>
      </c>
      <c r="D691" s="367" t="s">
        <v>5</v>
      </c>
      <c r="E691" s="367" t="s">
        <v>6</v>
      </c>
      <c r="F691" s="367" t="s">
        <v>1367</v>
      </c>
      <c r="G691" s="385">
        <v>45473</v>
      </c>
      <c r="H691" s="367" t="s">
        <v>9</v>
      </c>
      <c r="I691" s="368" t="str">
        <f>VLOOKUP(H691,'[2]Source Codes'!A$2:B$115,2,FALSE)</f>
        <v>On Line Journal Entries</v>
      </c>
      <c r="J691" s="412">
        <v>2569234</v>
      </c>
      <c r="K691" s="385">
        <v>45505</v>
      </c>
      <c r="L691" s="387" t="s">
        <v>344</v>
      </c>
      <c r="M691" s="388">
        <v>45505.869375000002</v>
      </c>
      <c r="N691" s="368" t="s">
        <v>359</v>
      </c>
      <c r="O691" s="368" t="s">
        <v>364</v>
      </c>
    </row>
    <row r="692" spans="1:15" ht="30" hidden="1" outlineLevel="1">
      <c r="B692" s="384">
        <v>2024</v>
      </c>
      <c r="C692" s="384">
        <v>12</v>
      </c>
      <c r="D692" s="367" t="s">
        <v>5</v>
      </c>
      <c r="E692" s="367" t="s">
        <v>6</v>
      </c>
      <c r="F692" s="367" t="s">
        <v>1368</v>
      </c>
      <c r="G692" s="385">
        <v>45473</v>
      </c>
      <c r="H692" s="367" t="s">
        <v>9</v>
      </c>
      <c r="I692" s="368" t="str">
        <f>VLOOKUP(H692,'[2]Source Codes'!A$2:B$115,2,FALSE)</f>
        <v>On Line Journal Entries</v>
      </c>
      <c r="J692" s="412">
        <v>5284979</v>
      </c>
      <c r="K692" s="385">
        <v>45505</v>
      </c>
      <c r="L692" s="387" t="s">
        <v>334</v>
      </c>
      <c r="M692" s="388">
        <v>45505.869375000002</v>
      </c>
      <c r="N692" s="368" t="s">
        <v>359</v>
      </c>
      <c r="O692" s="368" t="s">
        <v>364</v>
      </c>
    </row>
    <row r="693" spans="1:15" ht="30" hidden="1" outlineLevel="1">
      <c r="B693" s="384">
        <v>2024</v>
      </c>
      <c r="C693" s="384">
        <v>12</v>
      </c>
      <c r="D693" s="367" t="s">
        <v>5</v>
      </c>
      <c r="E693" s="367" t="s">
        <v>6</v>
      </c>
      <c r="F693" s="367" t="s">
        <v>1369</v>
      </c>
      <c r="G693" s="385">
        <v>45454</v>
      </c>
      <c r="H693" s="367" t="s">
        <v>9</v>
      </c>
      <c r="I693" s="368" t="str">
        <f>VLOOKUP(H693,'[2]Source Codes'!A$2:B$115,2,FALSE)</f>
        <v>On Line Journal Entries</v>
      </c>
      <c r="J693" s="412">
        <v>7920023</v>
      </c>
      <c r="K693" s="385">
        <v>45505</v>
      </c>
      <c r="L693" s="387" t="s">
        <v>344</v>
      </c>
      <c r="M693" s="388">
        <v>45505.869375000002</v>
      </c>
      <c r="N693" s="368" t="s">
        <v>359</v>
      </c>
      <c r="O693" s="368" t="s">
        <v>364</v>
      </c>
    </row>
    <row r="694" spans="1:15" ht="45" hidden="1" outlineLevel="1">
      <c r="B694" s="384">
        <v>2025</v>
      </c>
      <c r="C694" s="384">
        <v>1</v>
      </c>
      <c r="D694" s="367" t="s">
        <v>5</v>
      </c>
      <c r="E694" s="367" t="s">
        <v>6</v>
      </c>
      <c r="F694" s="367" t="s">
        <v>1361</v>
      </c>
      <c r="G694" s="385">
        <v>45478</v>
      </c>
      <c r="H694" s="367" t="s">
        <v>12</v>
      </c>
      <c r="I694" s="368" t="str">
        <f>VLOOKUP(H694,'[2]Source Codes'!A$2:B$115,2,FALSE)</f>
        <v>AR Direct Cash Journal</v>
      </c>
      <c r="J694" s="412">
        <v>45671308.82</v>
      </c>
      <c r="K694" s="385">
        <v>45505</v>
      </c>
      <c r="L694" s="387" t="s">
        <v>1372</v>
      </c>
      <c r="M694" s="388">
        <v>45505.751736111109</v>
      </c>
      <c r="N694" s="368" t="s">
        <v>359</v>
      </c>
      <c r="O694" s="368" t="s">
        <v>368</v>
      </c>
    </row>
    <row r="695" spans="1:15" ht="12.75" hidden="1" customHeight="1" outlineLevel="1">
      <c r="B695" s="384">
        <v>2025</v>
      </c>
      <c r="C695" s="384">
        <v>1</v>
      </c>
      <c r="D695" s="367" t="s">
        <v>5</v>
      </c>
      <c r="E695" s="367" t="s">
        <v>6</v>
      </c>
      <c r="F695" s="367" t="s">
        <v>1362</v>
      </c>
      <c r="G695" s="385">
        <v>45503</v>
      </c>
      <c r="H695" s="367" t="s">
        <v>12</v>
      </c>
      <c r="I695" s="368" t="str">
        <f>VLOOKUP(H695,'[2]Source Codes'!A$2:B$115,2,FALSE)</f>
        <v>AR Direct Cash Journal</v>
      </c>
      <c r="J695" s="412">
        <v>1915935.05</v>
      </c>
      <c r="K695" s="385">
        <v>45505</v>
      </c>
      <c r="L695" s="387" t="s">
        <v>1373</v>
      </c>
      <c r="M695" s="388">
        <v>45505.751736111109</v>
      </c>
      <c r="N695" s="368" t="s">
        <v>359</v>
      </c>
      <c r="O695" s="368" t="s">
        <v>368</v>
      </c>
    </row>
    <row r="696" spans="1:15" ht="12.75" hidden="1" customHeight="1" outlineLevel="1">
      <c r="B696" s="384">
        <v>2025</v>
      </c>
      <c r="C696" s="384">
        <v>1</v>
      </c>
      <c r="D696" s="367" t="s">
        <v>5</v>
      </c>
      <c r="E696" s="367" t="s">
        <v>6</v>
      </c>
      <c r="F696" s="367" t="s">
        <v>1364</v>
      </c>
      <c r="G696" s="385">
        <v>45497</v>
      </c>
      <c r="H696" s="367" t="s">
        <v>7</v>
      </c>
      <c r="I696" s="368" t="str">
        <f>VLOOKUP(H696,'[2]Source Codes'!A$2:B$115,2,FALSE)</f>
        <v>HRMS Interface Journals</v>
      </c>
      <c r="J696" s="412">
        <v>-12560287.15</v>
      </c>
      <c r="K696" s="385">
        <v>45505</v>
      </c>
      <c r="L696" s="387" t="s">
        <v>348</v>
      </c>
      <c r="M696" s="388">
        <v>45505.441828703704</v>
      </c>
      <c r="N696" s="368" t="s">
        <v>378</v>
      </c>
      <c r="O696" s="368" t="s">
        <v>379</v>
      </c>
    </row>
    <row r="697" spans="1:15" ht="12.75" hidden="1" customHeight="1" outlineLevel="1">
      <c r="B697" s="384">
        <v>2025</v>
      </c>
      <c r="C697" s="384">
        <v>1</v>
      </c>
      <c r="D697" s="367" t="s">
        <v>5</v>
      </c>
      <c r="E697" s="367" t="s">
        <v>6</v>
      </c>
      <c r="F697" s="367" t="s">
        <v>1370</v>
      </c>
      <c r="G697" s="385">
        <v>45497</v>
      </c>
      <c r="H697" s="367" t="s">
        <v>7</v>
      </c>
      <c r="I697" s="368" t="str">
        <f>VLOOKUP(H697,'[2]Source Codes'!A$2:B$115,2,FALSE)</f>
        <v>HRMS Interface Journals</v>
      </c>
      <c r="J697" s="412">
        <v>12560287.15</v>
      </c>
      <c r="K697" s="385">
        <v>45505</v>
      </c>
      <c r="L697" s="387" t="s">
        <v>348</v>
      </c>
      <c r="M697" s="388">
        <v>45505.370648148149</v>
      </c>
      <c r="N697" s="368" t="s">
        <v>378</v>
      </c>
      <c r="O697" s="368" t="s">
        <v>379</v>
      </c>
    </row>
    <row r="698" spans="1:15" ht="45" hidden="1" outlineLevel="1">
      <c r="B698" s="384">
        <v>2025</v>
      </c>
      <c r="C698" s="384">
        <v>2</v>
      </c>
      <c r="D698" s="367" t="s">
        <v>5</v>
      </c>
      <c r="E698" s="367" t="s">
        <v>6</v>
      </c>
      <c r="F698" s="367" t="s">
        <v>1363</v>
      </c>
      <c r="G698" s="385">
        <v>45505</v>
      </c>
      <c r="H698" s="367" t="s">
        <v>11</v>
      </c>
      <c r="I698" s="368" t="str">
        <f>VLOOKUP(H698,'[2]Source Codes'!A$2:B$115,2,FALSE)</f>
        <v>AR Payments</v>
      </c>
      <c r="J698" s="412">
        <v>9996905.5999999996</v>
      </c>
      <c r="K698" s="385">
        <v>45505</v>
      </c>
      <c r="L698" s="387" t="s">
        <v>1374</v>
      </c>
      <c r="M698" s="388">
        <v>45505.751736111109</v>
      </c>
      <c r="N698" s="368" t="s">
        <v>359</v>
      </c>
      <c r="O698" s="368" t="s">
        <v>357</v>
      </c>
    </row>
    <row r="699" spans="1:15" ht="12.75" hidden="1" customHeight="1" outlineLevel="1">
      <c r="B699" s="384">
        <v>2025</v>
      </c>
      <c r="C699" s="384">
        <v>2</v>
      </c>
      <c r="D699" s="367" t="s">
        <v>5</v>
      </c>
      <c r="E699" s="367" t="s">
        <v>6</v>
      </c>
      <c r="F699" s="367" t="s">
        <v>1365</v>
      </c>
      <c r="G699" s="385">
        <v>45505</v>
      </c>
      <c r="H699" s="367" t="s">
        <v>13</v>
      </c>
      <c r="I699" s="368" t="str">
        <f>VLOOKUP(H699,'[2]Source Codes'!A$2:B$115,2,FALSE)</f>
        <v>C-IV Voucher/Payments/EBT</v>
      </c>
      <c r="J699" s="412">
        <v>-12036749.869999999</v>
      </c>
      <c r="K699" s="385">
        <v>45505</v>
      </c>
      <c r="L699" s="387" t="s">
        <v>1375</v>
      </c>
      <c r="M699" s="388">
        <v>45505.869386574072</v>
      </c>
      <c r="N699" s="368" t="s">
        <v>359</v>
      </c>
      <c r="O699" s="368" t="s">
        <v>364</v>
      </c>
    </row>
    <row r="700" spans="1:15" ht="12.75" customHeight="1" collapsed="1">
      <c r="I700" s="368"/>
      <c r="J700" s="413">
        <f>SUM(J690:J699)</f>
        <v>58521635.600000001</v>
      </c>
    </row>
    <row r="702" spans="1:15" ht="12.75" customHeight="1">
      <c r="A702" s="378" t="s">
        <v>1376</v>
      </c>
    </row>
    <row r="703" spans="1:15" ht="30" hidden="1" outlineLevel="1">
      <c r="B703" s="384">
        <v>2025</v>
      </c>
      <c r="C703" s="384">
        <v>2</v>
      </c>
      <c r="D703" s="367" t="s">
        <v>5</v>
      </c>
      <c r="E703" s="367" t="s">
        <v>6</v>
      </c>
      <c r="F703" s="367" t="s">
        <v>1377</v>
      </c>
      <c r="G703" s="385">
        <v>45506</v>
      </c>
      <c r="H703" s="367" t="s">
        <v>14</v>
      </c>
      <c r="I703" s="368" t="str">
        <f>VLOOKUP(H703,'[2]Source Codes'!A$2:B$115,2,FALSE)</f>
        <v>AP Warrant Issuance</v>
      </c>
      <c r="J703" s="412">
        <v>-1349262.58</v>
      </c>
      <c r="K703" s="385">
        <v>45506</v>
      </c>
      <c r="L703" s="387" t="s">
        <v>1386</v>
      </c>
      <c r="M703" s="388">
        <v>45506.793414351851</v>
      </c>
      <c r="N703" s="368" t="s">
        <v>359</v>
      </c>
      <c r="O703" s="368" t="s">
        <v>368</v>
      </c>
    </row>
    <row r="704" spans="1:15" ht="60" hidden="1" outlineLevel="1">
      <c r="B704" s="384">
        <v>2025</v>
      </c>
      <c r="C704" s="384">
        <v>2</v>
      </c>
      <c r="D704" s="367" t="s">
        <v>5</v>
      </c>
      <c r="E704" s="367" t="s">
        <v>6</v>
      </c>
      <c r="F704" s="367" t="s">
        <v>1378</v>
      </c>
      <c r="G704" s="385">
        <v>45510</v>
      </c>
      <c r="H704" s="367" t="s">
        <v>14</v>
      </c>
      <c r="I704" s="368" t="str">
        <f>VLOOKUP(H704,'[2]Source Codes'!A$2:B$115,2,FALSE)</f>
        <v>AP Warrant Issuance</v>
      </c>
      <c r="J704" s="412">
        <v>-1340597.07</v>
      </c>
      <c r="K704" s="385">
        <v>45506</v>
      </c>
      <c r="L704" s="387" t="s">
        <v>1387</v>
      </c>
      <c r="M704" s="388">
        <v>45506.793414351851</v>
      </c>
      <c r="N704" s="368" t="s">
        <v>359</v>
      </c>
      <c r="O704" s="368" t="s">
        <v>368</v>
      </c>
    </row>
    <row r="705" spans="1:15" ht="30" hidden="1" outlineLevel="1">
      <c r="B705" s="384">
        <v>2025</v>
      </c>
      <c r="C705" s="384">
        <v>2</v>
      </c>
      <c r="D705" s="367" t="s">
        <v>5</v>
      </c>
      <c r="E705" s="367" t="s">
        <v>6</v>
      </c>
      <c r="F705" s="367" t="s">
        <v>1379</v>
      </c>
      <c r="G705" s="385">
        <v>45505</v>
      </c>
      <c r="H705" s="367" t="s">
        <v>11</v>
      </c>
      <c r="I705" s="368" t="str">
        <f>VLOOKUP(H705,'[2]Source Codes'!A$2:B$115,2,FALSE)</f>
        <v>AR Payments</v>
      </c>
      <c r="J705" s="412">
        <v>3347797.9</v>
      </c>
      <c r="K705" s="385">
        <v>45506</v>
      </c>
      <c r="L705" s="387" t="s">
        <v>397</v>
      </c>
      <c r="M705" s="388">
        <v>45506.751620370371</v>
      </c>
      <c r="N705" s="368" t="s">
        <v>359</v>
      </c>
      <c r="O705" s="368" t="s">
        <v>357</v>
      </c>
    </row>
    <row r="706" spans="1:15" ht="30" hidden="1" outlineLevel="1">
      <c r="B706" s="384">
        <v>2024</v>
      </c>
      <c r="C706" s="384">
        <v>12</v>
      </c>
      <c r="D706" s="367" t="s">
        <v>5</v>
      </c>
      <c r="E706" s="367" t="s">
        <v>6</v>
      </c>
      <c r="F706" s="367" t="s">
        <v>1382</v>
      </c>
      <c r="G706" s="385">
        <v>45473</v>
      </c>
      <c r="H706" s="367" t="s">
        <v>9</v>
      </c>
      <c r="I706" s="368" t="s">
        <v>132</v>
      </c>
      <c r="J706" s="412">
        <v>1540871</v>
      </c>
      <c r="K706" s="385">
        <v>45506</v>
      </c>
      <c r="L706" s="387" t="s">
        <v>344</v>
      </c>
      <c r="M706" s="388">
        <v>45506.61146990741</v>
      </c>
      <c r="N706" s="368" t="s">
        <v>359</v>
      </c>
      <c r="O706" s="368" t="s">
        <v>364</v>
      </c>
    </row>
    <row r="707" spans="1:15" ht="30" hidden="1" outlineLevel="1">
      <c r="B707" s="384">
        <v>2025</v>
      </c>
      <c r="C707" s="384">
        <v>1</v>
      </c>
      <c r="D707" s="367" t="s">
        <v>5</v>
      </c>
      <c r="E707" s="367" t="s">
        <v>6</v>
      </c>
      <c r="F707" s="367" t="s">
        <v>1383</v>
      </c>
      <c r="G707" s="385">
        <v>45491</v>
      </c>
      <c r="H707" s="367" t="s">
        <v>9</v>
      </c>
      <c r="I707" s="368" t="s">
        <v>132</v>
      </c>
      <c r="J707" s="412">
        <v>3407982</v>
      </c>
      <c r="K707" s="385">
        <v>45506</v>
      </c>
      <c r="L707" s="387" t="s">
        <v>344</v>
      </c>
      <c r="M707" s="388">
        <v>45506.869583333333</v>
      </c>
      <c r="N707" s="368" t="s">
        <v>359</v>
      </c>
      <c r="O707" s="368" t="s">
        <v>364</v>
      </c>
    </row>
    <row r="708" spans="1:15" ht="15" hidden="1" outlineLevel="1">
      <c r="B708" s="384">
        <v>2025</v>
      </c>
      <c r="C708" s="384">
        <v>1</v>
      </c>
      <c r="D708" s="367" t="s">
        <v>5</v>
      </c>
      <c r="E708" s="367" t="s">
        <v>6</v>
      </c>
      <c r="F708" s="367" t="s">
        <v>1384</v>
      </c>
      <c r="G708" s="385">
        <v>45483</v>
      </c>
      <c r="H708" s="367" t="s">
        <v>9</v>
      </c>
      <c r="I708" s="368" t="s">
        <v>132</v>
      </c>
      <c r="J708" s="412">
        <v>4352469</v>
      </c>
      <c r="K708" s="385">
        <v>45506</v>
      </c>
      <c r="L708" s="387" t="s">
        <v>1385</v>
      </c>
      <c r="M708" s="388">
        <v>45506.869583333333</v>
      </c>
      <c r="N708" s="368" t="s">
        <v>359</v>
      </c>
      <c r="O708" s="368" t="s">
        <v>369</v>
      </c>
    </row>
    <row r="709" spans="1:15" ht="15" hidden="1" outlineLevel="1">
      <c r="B709" s="384">
        <v>2025</v>
      </c>
      <c r="C709" s="384">
        <v>1</v>
      </c>
      <c r="D709" s="367" t="s">
        <v>5</v>
      </c>
      <c r="E709" s="367" t="s">
        <v>6</v>
      </c>
      <c r="F709" s="367" t="s">
        <v>1380</v>
      </c>
      <c r="G709" s="385">
        <v>45497</v>
      </c>
      <c r="H709" s="367" t="s">
        <v>7</v>
      </c>
      <c r="I709" s="368" t="str">
        <f>VLOOKUP(H709,'[2]Source Codes'!A$2:B$115,2,FALSE)</f>
        <v>HRMS Interface Journals</v>
      </c>
      <c r="J709" s="412">
        <v>-54925605.979999997</v>
      </c>
      <c r="K709" s="385">
        <v>45506</v>
      </c>
      <c r="L709" s="387" t="s">
        <v>348</v>
      </c>
      <c r="M709" s="388">
        <v>45506.402430555558</v>
      </c>
      <c r="N709" s="368" t="s">
        <v>378</v>
      </c>
      <c r="O709" s="368" t="s">
        <v>379</v>
      </c>
    </row>
    <row r="710" spans="1:15" ht="15" hidden="1" outlineLevel="1">
      <c r="B710" s="384">
        <v>2025</v>
      </c>
      <c r="C710" s="384">
        <v>1</v>
      </c>
      <c r="D710" s="367" t="s">
        <v>5</v>
      </c>
      <c r="E710" s="367" t="s">
        <v>6</v>
      </c>
      <c r="F710" s="367" t="s">
        <v>1381</v>
      </c>
      <c r="G710" s="385">
        <v>45497</v>
      </c>
      <c r="H710" s="367" t="s">
        <v>7</v>
      </c>
      <c r="I710" s="368" t="str">
        <f>VLOOKUP(H710,'[2]Source Codes'!A$2:B$115,2,FALSE)</f>
        <v>HRMS Interface Journals</v>
      </c>
      <c r="J710" s="412">
        <v>-8815169.7300000004</v>
      </c>
      <c r="K710" s="385">
        <v>45506</v>
      </c>
      <c r="L710" s="387" t="s">
        <v>349</v>
      </c>
      <c r="M710" s="388">
        <v>45506.398414351854</v>
      </c>
      <c r="N710" s="368" t="s">
        <v>378</v>
      </c>
      <c r="O710" s="368" t="s">
        <v>379</v>
      </c>
    </row>
    <row r="711" spans="1:15" ht="12.75" customHeight="1" collapsed="1">
      <c r="J711" s="413">
        <f>SUM(J703:J710)</f>
        <v>-53781515.459999993</v>
      </c>
    </row>
    <row r="713" spans="1:15" ht="12.75" customHeight="1">
      <c r="A713" s="378" t="s">
        <v>1388</v>
      </c>
    </row>
    <row r="714" spans="1:15" ht="30" hidden="1" outlineLevel="1">
      <c r="B714" s="384">
        <v>2025</v>
      </c>
      <c r="C714" s="384">
        <v>2</v>
      </c>
      <c r="D714" s="367" t="s">
        <v>5</v>
      </c>
      <c r="E714" s="367" t="s">
        <v>6</v>
      </c>
      <c r="F714" s="367" t="s">
        <v>1389</v>
      </c>
      <c r="G714" s="385">
        <v>45511</v>
      </c>
      <c r="H714" s="367" t="s">
        <v>14</v>
      </c>
      <c r="I714" s="368" t="str">
        <f>VLOOKUP(H714,'[2]Source Codes'!A$2:B$115,2,FALSE)</f>
        <v>AP Warrant Issuance</v>
      </c>
      <c r="J714" s="412">
        <v>-2534482.7400000002</v>
      </c>
      <c r="K714" s="385">
        <v>45509</v>
      </c>
      <c r="L714" s="387" t="s">
        <v>1406</v>
      </c>
      <c r="M714" s="388">
        <v>45509.793437499997</v>
      </c>
      <c r="N714" s="368" t="s">
        <v>359</v>
      </c>
      <c r="O714" s="368" t="s">
        <v>368</v>
      </c>
    </row>
    <row r="715" spans="1:15" ht="15" hidden="1" outlineLevel="1">
      <c r="B715" s="384">
        <v>2024</v>
      </c>
      <c r="C715" s="384">
        <v>12</v>
      </c>
      <c r="D715" s="367" t="s">
        <v>5</v>
      </c>
      <c r="E715" s="367" t="s">
        <v>6</v>
      </c>
      <c r="F715" s="367" t="s">
        <v>1390</v>
      </c>
      <c r="G715" s="385">
        <v>45470</v>
      </c>
      <c r="H715" s="367" t="s">
        <v>9</v>
      </c>
      <c r="I715" s="368" t="str">
        <f>VLOOKUP(H715,'[2]Source Codes'!A$2:B$115,2,FALSE)</f>
        <v>On Line Journal Entries</v>
      </c>
      <c r="J715" s="412">
        <v>22926133.859999999</v>
      </c>
      <c r="K715" s="385">
        <v>45509</v>
      </c>
      <c r="L715" s="387" t="s">
        <v>1399</v>
      </c>
      <c r="M715" s="388">
        <v>45509.86959490741</v>
      </c>
      <c r="N715" s="368" t="s">
        <v>359</v>
      </c>
      <c r="O715" s="368" t="s">
        <v>371</v>
      </c>
    </row>
    <row r="716" spans="1:15" ht="30" hidden="1" outlineLevel="1">
      <c r="B716" s="384">
        <v>2025</v>
      </c>
      <c r="C716" s="384">
        <v>1</v>
      </c>
      <c r="D716" s="367" t="s">
        <v>5</v>
      </c>
      <c r="E716" s="367" t="s">
        <v>6</v>
      </c>
      <c r="F716" s="367" t="s">
        <v>1391</v>
      </c>
      <c r="G716" s="385">
        <v>45491</v>
      </c>
      <c r="H716" s="367" t="s">
        <v>9</v>
      </c>
      <c r="I716" s="368" t="str">
        <f>VLOOKUP(H716,'[2]Source Codes'!A$2:B$115,2,FALSE)</f>
        <v>On Line Journal Entries</v>
      </c>
      <c r="J716" s="412">
        <v>16785665</v>
      </c>
      <c r="K716" s="385">
        <v>45509</v>
      </c>
      <c r="L716" s="387" t="s">
        <v>344</v>
      </c>
      <c r="M716" s="388">
        <v>45509.396493055552</v>
      </c>
      <c r="N716" s="368" t="s">
        <v>359</v>
      </c>
      <c r="O716" s="368" t="s">
        <v>364</v>
      </c>
    </row>
    <row r="717" spans="1:15" ht="30" hidden="1" outlineLevel="1">
      <c r="B717" s="384">
        <v>2025</v>
      </c>
      <c r="C717" s="384">
        <v>1</v>
      </c>
      <c r="D717" s="367" t="s">
        <v>5</v>
      </c>
      <c r="E717" s="367" t="s">
        <v>6</v>
      </c>
      <c r="F717" s="367" t="s">
        <v>1392</v>
      </c>
      <c r="G717" s="385">
        <v>45491</v>
      </c>
      <c r="H717" s="367" t="s">
        <v>9</v>
      </c>
      <c r="I717" s="368" t="str">
        <f>VLOOKUP(H717,'[2]Source Codes'!A$2:B$115,2,FALSE)</f>
        <v>On Line Journal Entries</v>
      </c>
      <c r="J717" s="412">
        <v>11613436</v>
      </c>
      <c r="K717" s="385">
        <v>45509</v>
      </c>
      <c r="L717" s="387" t="s">
        <v>344</v>
      </c>
      <c r="M717" s="388">
        <v>45509.395543981482</v>
      </c>
      <c r="N717" s="368" t="s">
        <v>359</v>
      </c>
      <c r="O717" s="368" t="s">
        <v>364</v>
      </c>
    </row>
    <row r="718" spans="1:15" ht="30" hidden="1" outlineLevel="1">
      <c r="B718" s="384">
        <v>2024</v>
      </c>
      <c r="C718" s="384">
        <v>12</v>
      </c>
      <c r="D718" s="367" t="s">
        <v>5</v>
      </c>
      <c r="E718" s="367" t="s">
        <v>6</v>
      </c>
      <c r="F718" s="367" t="s">
        <v>1393</v>
      </c>
      <c r="G718" s="385">
        <v>45473</v>
      </c>
      <c r="H718" s="367" t="s">
        <v>9</v>
      </c>
      <c r="I718" s="368" t="str">
        <f>VLOOKUP(H718,'[2]Source Codes'!A$2:B$115,2,FALSE)</f>
        <v>On Line Journal Entries</v>
      </c>
      <c r="J718" s="412">
        <v>11424409</v>
      </c>
      <c r="K718" s="385">
        <v>45509</v>
      </c>
      <c r="L718" s="387" t="s">
        <v>344</v>
      </c>
      <c r="M718" s="388">
        <v>45509.86959490741</v>
      </c>
      <c r="N718" s="368" t="s">
        <v>359</v>
      </c>
      <c r="O718" s="368" t="s">
        <v>364</v>
      </c>
    </row>
    <row r="719" spans="1:15" ht="30" hidden="1" outlineLevel="1">
      <c r="B719" s="384">
        <v>2025</v>
      </c>
      <c r="C719" s="384">
        <v>1</v>
      </c>
      <c r="D719" s="367" t="s">
        <v>5</v>
      </c>
      <c r="E719" s="367" t="s">
        <v>6</v>
      </c>
      <c r="F719" s="367" t="s">
        <v>1394</v>
      </c>
      <c r="G719" s="385">
        <v>45491</v>
      </c>
      <c r="H719" s="367" t="s">
        <v>9</v>
      </c>
      <c r="I719" s="368" t="str">
        <f>VLOOKUP(H719,'[2]Source Codes'!A$2:B$115,2,FALSE)</f>
        <v>On Line Journal Entries</v>
      </c>
      <c r="J719" s="412">
        <v>8126303</v>
      </c>
      <c r="K719" s="385">
        <v>45509</v>
      </c>
      <c r="L719" s="387" t="s">
        <v>344</v>
      </c>
      <c r="M719" s="388">
        <v>45509.490567129629</v>
      </c>
      <c r="N719" s="368" t="s">
        <v>359</v>
      </c>
      <c r="O719" s="368" t="s">
        <v>364</v>
      </c>
    </row>
    <row r="720" spans="1:15" ht="30" hidden="1" outlineLevel="1">
      <c r="B720" s="384">
        <v>2024</v>
      </c>
      <c r="C720" s="384">
        <v>12</v>
      </c>
      <c r="D720" s="367" t="s">
        <v>5</v>
      </c>
      <c r="E720" s="367" t="s">
        <v>6</v>
      </c>
      <c r="F720" s="367" t="s">
        <v>1395</v>
      </c>
      <c r="G720" s="385">
        <v>45473</v>
      </c>
      <c r="H720" s="367" t="s">
        <v>9</v>
      </c>
      <c r="I720" s="368" t="str">
        <f>VLOOKUP(H720,'[2]Source Codes'!A$2:B$115,2,FALSE)</f>
        <v>On Line Journal Entries</v>
      </c>
      <c r="J720" s="412">
        <v>6691061</v>
      </c>
      <c r="K720" s="385">
        <v>45509</v>
      </c>
      <c r="L720" s="387" t="s">
        <v>344</v>
      </c>
      <c r="M720" s="388">
        <v>45509.86959490741</v>
      </c>
      <c r="N720" s="368" t="s">
        <v>359</v>
      </c>
      <c r="O720" s="368" t="s">
        <v>364</v>
      </c>
    </row>
    <row r="721" spans="1:15" ht="45" hidden="1" outlineLevel="1">
      <c r="B721" s="384">
        <v>2024</v>
      </c>
      <c r="C721" s="384">
        <v>12</v>
      </c>
      <c r="D721" s="367" t="s">
        <v>5</v>
      </c>
      <c r="E721" s="367" t="s">
        <v>6</v>
      </c>
      <c r="F721" s="367" t="s">
        <v>1396</v>
      </c>
      <c r="G721" s="385">
        <v>45473</v>
      </c>
      <c r="H721" s="367" t="s">
        <v>9</v>
      </c>
      <c r="I721" s="368" t="str">
        <f>VLOOKUP(H721,'[2]Source Codes'!A$2:B$115,2,FALSE)</f>
        <v>On Line Journal Entries</v>
      </c>
      <c r="J721" s="412">
        <v>5722886</v>
      </c>
      <c r="K721" s="385">
        <v>45509</v>
      </c>
      <c r="L721" s="387" t="s">
        <v>352</v>
      </c>
      <c r="M721" s="388">
        <v>45509.86959490741</v>
      </c>
      <c r="N721" s="368" t="s">
        <v>359</v>
      </c>
      <c r="O721" s="368" t="s">
        <v>364</v>
      </c>
    </row>
    <row r="722" spans="1:15" ht="45" hidden="1" outlineLevel="1">
      <c r="B722" s="384">
        <v>2024</v>
      </c>
      <c r="C722" s="384">
        <v>12</v>
      </c>
      <c r="D722" s="367" t="s">
        <v>5</v>
      </c>
      <c r="E722" s="367" t="s">
        <v>6</v>
      </c>
      <c r="F722" s="367" t="s">
        <v>1397</v>
      </c>
      <c r="G722" s="385">
        <v>45473</v>
      </c>
      <c r="H722" s="367" t="s">
        <v>9</v>
      </c>
      <c r="I722" s="368" t="str">
        <f>VLOOKUP(H722,'[2]Source Codes'!A$2:B$115,2,FALSE)</f>
        <v>On Line Journal Entries</v>
      </c>
      <c r="J722" s="412">
        <v>4386353</v>
      </c>
      <c r="K722" s="385">
        <v>45509</v>
      </c>
      <c r="L722" s="387" t="s">
        <v>343</v>
      </c>
      <c r="M722" s="388">
        <v>45509.86959490741</v>
      </c>
      <c r="N722" s="368" t="s">
        <v>359</v>
      </c>
      <c r="O722" s="368" t="s">
        <v>364</v>
      </c>
    </row>
    <row r="723" spans="1:15" ht="45" hidden="1" outlineLevel="1">
      <c r="B723" s="384">
        <v>2024</v>
      </c>
      <c r="C723" s="384">
        <v>12</v>
      </c>
      <c r="D723" s="367" t="s">
        <v>5</v>
      </c>
      <c r="E723" s="367" t="s">
        <v>6</v>
      </c>
      <c r="F723" s="367" t="s">
        <v>1398</v>
      </c>
      <c r="G723" s="385">
        <v>45473</v>
      </c>
      <c r="H723" s="367" t="s">
        <v>9</v>
      </c>
      <c r="I723" s="368" t="str">
        <f>VLOOKUP(H723,'[2]Source Codes'!A$2:B$115,2,FALSE)</f>
        <v>On Line Journal Entries</v>
      </c>
      <c r="J723" s="412">
        <v>1871598</v>
      </c>
      <c r="K723" s="385">
        <v>45509</v>
      </c>
      <c r="L723" s="387" t="s">
        <v>343</v>
      </c>
      <c r="M723" s="388">
        <v>45509.50304398148</v>
      </c>
      <c r="N723" s="368" t="s">
        <v>359</v>
      </c>
      <c r="O723" s="368" t="s">
        <v>364</v>
      </c>
    </row>
    <row r="724" spans="1:15" ht="30" hidden="1" outlineLevel="1">
      <c r="B724" s="384">
        <v>2025</v>
      </c>
      <c r="C724" s="384">
        <v>2</v>
      </c>
      <c r="D724" s="367" t="s">
        <v>5</v>
      </c>
      <c r="E724" s="367" t="s">
        <v>6</v>
      </c>
      <c r="F724" s="367" t="s">
        <v>1400</v>
      </c>
      <c r="G724" s="385">
        <v>45505</v>
      </c>
      <c r="H724" s="367" t="s">
        <v>9</v>
      </c>
      <c r="I724" s="368" t="str">
        <f>VLOOKUP(H724,'[2]Source Codes'!A$2:B$115,2,FALSE)</f>
        <v>On Line Journal Entries</v>
      </c>
      <c r="J724" s="412">
        <v>-5075223.83</v>
      </c>
      <c r="K724" s="385">
        <v>45509</v>
      </c>
      <c r="L724" s="387" t="s">
        <v>1403</v>
      </c>
      <c r="M724" s="388">
        <v>45509.480671296296</v>
      </c>
      <c r="N724" s="368" t="s">
        <v>359</v>
      </c>
      <c r="O724" s="368" t="s">
        <v>374</v>
      </c>
    </row>
    <row r="725" spans="1:15" ht="45" hidden="1" outlineLevel="1">
      <c r="B725" s="384">
        <v>2025</v>
      </c>
      <c r="C725" s="384">
        <v>1</v>
      </c>
      <c r="D725" s="367" t="s">
        <v>5</v>
      </c>
      <c r="E725" s="367" t="s">
        <v>6</v>
      </c>
      <c r="F725" s="367" t="s">
        <v>1401</v>
      </c>
      <c r="G725" s="385">
        <v>45495</v>
      </c>
      <c r="H725" s="367" t="s">
        <v>9</v>
      </c>
      <c r="I725" s="368" t="str">
        <f>VLOOKUP(H725,'[2]Source Codes'!A$2:B$115,2,FALSE)</f>
        <v>On Line Journal Entries</v>
      </c>
      <c r="J725" s="412">
        <v>-6660875</v>
      </c>
      <c r="K725" s="385">
        <v>45509</v>
      </c>
      <c r="L725" s="387" t="s">
        <v>1404</v>
      </c>
      <c r="M725" s="388">
        <v>45509.646921296298</v>
      </c>
      <c r="N725" s="368" t="s">
        <v>359</v>
      </c>
      <c r="O725" s="368" t="s">
        <v>368</v>
      </c>
    </row>
    <row r="726" spans="1:15" ht="15" hidden="1" outlineLevel="1">
      <c r="B726" s="384">
        <v>2025</v>
      </c>
      <c r="C726" s="384">
        <v>2</v>
      </c>
      <c r="D726" s="367" t="s">
        <v>5</v>
      </c>
      <c r="E726" s="367" t="s">
        <v>6</v>
      </c>
      <c r="F726" s="367" t="s">
        <v>1402</v>
      </c>
      <c r="G726" s="385">
        <v>45505</v>
      </c>
      <c r="H726" s="367" t="s">
        <v>9</v>
      </c>
      <c r="I726" s="368" t="str">
        <f>VLOOKUP(H726,'[2]Source Codes'!A$2:B$115,2,FALSE)</f>
        <v>On Line Journal Entries</v>
      </c>
      <c r="J726" s="412">
        <v>-12248033.939999999</v>
      </c>
      <c r="K726" s="385">
        <v>45509</v>
      </c>
      <c r="L726" s="387" t="s">
        <v>1405</v>
      </c>
      <c r="M726" s="388">
        <v>45509.486770833333</v>
      </c>
      <c r="N726" s="368" t="s">
        <v>361</v>
      </c>
      <c r="O726" s="368" t="s">
        <v>373</v>
      </c>
    </row>
    <row r="727" spans="1:15" ht="12.75" customHeight="1" collapsed="1">
      <c r="J727" s="413">
        <f>SUM(J714:J726)</f>
        <v>63029229.350000009</v>
      </c>
    </row>
    <row r="729" spans="1:15" ht="12.75" customHeight="1">
      <c r="A729" s="378" t="s">
        <v>1407</v>
      </c>
    </row>
    <row r="730" spans="1:15" ht="45" hidden="1" outlineLevel="1">
      <c r="B730" s="384">
        <v>2025</v>
      </c>
      <c r="C730" s="384">
        <v>2</v>
      </c>
      <c r="D730" s="367" t="s">
        <v>5</v>
      </c>
      <c r="E730" s="367" t="s">
        <v>6</v>
      </c>
      <c r="F730" s="367" t="s">
        <v>1408</v>
      </c>
      <c r="G730" s="385">
        <v>45505</v>
      </c>
      <c r="H730" s="367" t="s">
        <v>11</v>
      </c>
      <c r="I730" s="368" t="str">
        <f>VLOOKUP(H730,'[2]Source Codes'!A$2:B$115,2,FALSE)</f>
        <v>AR Payments</v>
      </c>
      <c r="J730" s="412">
        <v>3893178.56</v>
      </c>
      <c r="K730" s="385">
        <v>45510</v>
      </c>
      <c r="L730" s="387" t="s">
        <v>1429</v>
      </c>
      <c r="M730" s="388">
        <v>45510.751666666663</v>
      </c>
      <c r="N730" s="368" t="s">
        <v>359</v>
      </c>
      <c r="O730" s="368" t="s">
        <v>357</v>
      </c>
    </row>
    <row r="731" spans="1:15" ht="30" hidden="1" outlineLevel="1">
      <c r="B731" s="384">
        <v>2025</v>
      </c>
      <c r="C731" s="384">
        <v>2</v>
      </c>
      <c r="D731" s="367" t="s">
        <v>5</v>
      </c>
      <c r="E731" s="367" t="s">
        <v>6</v>
      </c>
      <c r="F731" s="367" t="s">
        <v>1409</v>
      </c>
      <c r="G731" s="385">
        <v>45510</v>
      </c>
      <c r="H731" s="367" t="s">
        <v>12</v>
      </c>
      <c r="I731" s="368" t="str">
        <f>VLOOKUP(H731,'[2]Source Codes'!A$2:B$115,2,FALSE)</f>
        <v>AR Direct Cash Journal</v>
      </c>
      <c r="J731" s="412">
        <v>1257545.71</v>
      </c>
      <c r="K731" s="385">
        <v>45510</v>
      </c>
      <c r="L731" s="387" t="s">
        <v>899</v>
      </c>
      <c r="M731" s="388">
        <v>45510.751666666663</v>
      </c>
      <c r="N731" s="368" t="s">
        <v>359</v>
      </c>
      <c r="O731" s="368" t="s">
        <v>370</v>
      </c>
    </row>
    <row r="732" spans="1:15" ht="15" hidden="1" outlineLevel="1">
      <c r="B732" s="384">
        <v>2024</v>
      </c>
      <c r="C732" s="384">
        <v>12</v>
      </c>
      <c r="D732" s="367" t="s">
        <v>5</v>
      </c>
      <c r="E732" s="367" t="s">
        <v>6</v>
      </c>
      <c r="F732" s="367" t="s">
        <v>1410</v>
      </c>
      <c r="G732" s="385">
        <v>45470</v>
      </c>
      <c r="H732" s="367" t="s">
        <v>9</v>
      </c>
      <c r="I732" s="368" t="str">
        <f>VLOOKUP(H732,'[2]Source Codes'!A$2:B$115,2,FALSE)</f>
        <v>On Line Journal Entries</v>
      </c>
      <c r="J732" s="412">
        <v>5869693.71</v>
      </c>
      <c r="K732" s="385">
        <v>45510</v>
      </c>
      <c r="L732" s="387" t="s">
        <v>1422</v>
      </c>
      <c r="M732" s="388">
        <v>45510.375185185185</v>
      </c>
      <c r="N732" s="368" t="s">
        <v>506</v>
      </c>
      <c r="O732" s="368" t="s">
        <v>376</v>
      </c>
    </row>
    <row r="733" spans="1:15" ht="45" hidden="1" outlineLevel="1">
      <c r="B733" s="384">
        <v>2024</v>
      </c>
      <c r="C733" s="384">
        <v>12</v>
      </c>
      <c r="D733" s="367" t="s">
        <v>5</v>
      </c>
      <c r="E733" s="367" t="s">
        <v>6</v>
      </c>
      <c r="F733" s="367" t="s">
        <v>1411</v>
      </c>
      <c r="G733" s="385">
        <v>45473</v>
      </c>
      <c r="H733" s="367" t="s">
        <v>9</v>
      </c>
      <c r="I733" s="368" t="str">
        <f>VLOOKUP(H733,'[2]Source Codes'!A$2:B$115,2,FALSE)</f>
        <v>On Line Journal Entries</v>
      </c>
      <c r="J733" s="412">
        <v>5675915</v>
      </c>
      <c r="K733" s="385">
        <v>45510</v>
      </c>
      <c r="L733" s="387" t="s">
        <v>396</v>
      </c>
      <c r="M733" s="388">
        <v>45510.383553240739</v>
      </c>
      <c r="N733" s="368" t="s">
        <v>359</v>
      </c>
      <c r="O733" s="368" t="s">
        <v>364</v>
      </c>
    </row>
    <row r="734" spans="1:15" ht="45" hidden="1" outlineLevel="1">
      <c r="B734" s="384">
        <v>2024</v>
      </c>
      <c r="C734" s="384">
        <v>12</v>
      </c>
      <c r="D734" s="367" t="s">
        <v>5</v>
      </c>
      <c r="E734" s="367" t="s">
        <v>6</v>
      </c>
      <c r="F734" s="367" t="s">
        <v>1412</v>
      </c>
      <c r="G734" s="385">
        <v>45464</v>
      </c>
      <c r="H734" s="367" t="s">
        <v>9</v>
      </c>
      <c r="I734" s="368" t="str">
        <f>VLOOKUP(H734,'[2]Source Codes'!A$2:B$115,2,FALSE)</f>
        <v>On Line Journal Entries</v>
      </c>
      <c r="J734" s="412">
        <v>5672048</v>
      </c>
      <c r="K734" s="385">
        <v>45510</v>
      </c>
      <c r="L734" s="387" t="s">
        <v>396</v>
      </c>
      <c r="M734" s="388">
        <v>45510.869733796295</v>
      </c>
      <c r="N734" s="368" t="s">
        <v>359</v>
      </c>
      <c r="O734" s="368" t="s">
        <v>364</v>
      </c>
    </row>
    <row r="735" spans="1:15" ht="30" hidden="1" outlineLevel="1">
      <c r="B735" s="384">
        <v>2024</v>
      </c>
      <c r="C735" s="384">
        <v>12</v>
      </c>
      <c r="D735" s="367" t="s">
        <v>5</v>
      </c>
      <c r="E735" s="367" t="s">
        <v>6</v>
      </c>
      <c r="F735" s="367" t="s">
        <v>1413</v>
      </c>
      <c r="G735" s="385">
        <v>45473</v>
      </c>
      <c r="H735" s="367" t="s">
        <v>9</v>
      </c>
      <c r="I735" s="368" t="str">
        <f>VLOOKUP(H735,'[2]Source Codes'!A$2:B$115,2,FALSE)</f>
        <v>On Line Journal Entries</v>
      </c>
      <c r="J735" s="412">
        <v>4490196.8499999996</v>
      </c>
      <c r="K735" s="385">
        <v>45510</v>
      </c>
      <c r="L735" s="387" t="s">
        <v>1423</v>
      </c>
      <c r="M735" s="388">
        <v>45510.379664351851</v>
      </c>
      <c r="N735" s="368" t="s">
        <v>506</v>
      </c>
      <c r="O735" s="368" t="s">
        <v>376</v>
      </c>
    </row>
    <row r="736" spans="1:15" ht="15" hidden="1" outlineLevel="1">
      <c r="B736" s="384">
        <v>2024</v>
      </c>
      <c r="C736" s="384">
        <v>12</v>
      </c>
      <c r="D736" s="367" t="s">
        <v>5</v>
      </c>
      <c r="E736" s="367" t="s">
        <v>6</v>
      </c>
      <c r="F736" s="367" t="s">
        <v>1414</v>
      </c>
      <c r="G736" s="385">
        <v>45470</v>
      </c>
      <c r="H736" s="367" t="s">
        <v>9</v>
      </c>
      <c r="I736" s="368" t="str">
        <f>VLOOKUP(H736,'[2]Source Codes'!A$2:B$115,2,FALSE)</f>
        <v>On Line Journal Entries</v>
      </c>
      <c r="J736" s="412">
        <v>3899729.22</v>
      </c>
      <c r="K736" s="385">
        <v>45510</v>
      </c>
      <c r="L736" s="387" t="s">
        <v>1425</v>
      </c>
      <c r="M736" s="388">
        <v>45510.370300925926</v>
      </c>
      <c r="N736" s="368" t="s">
        <v>506</v>
      </c>
      <c r="O736" s="368" t="s">
        <v>376</v>
      </c>
    </row>
    <row r="737" spans="1:15" ht="15" hidden="1" outlineLevel="1">
      <c r="B737" s="384">
        <v>2024</v>
      </c>
      <c r="C737" s="384">
        <v>12</v>
      </c>
      <c r="D737" s="367" t="s">
        <v>5</v>
      </c>
      <c r="E737" s="367" t="s">
        <v>6</v>
      </c>
      <c r="F737" s="367" t="s">
        <v>1415</v>
      </c>
      <c r="G737" s="385">
        <v>45470</v>
      </c>
      <c r="H737" s="367" t="s">
        <v>9</v>
      </c>
      <c r="I737" s="368" t="str">
        <f>VLOOKUP(H737,'[2]Source Codes'!A$2:B$115,2,FALSE)</f>
        <v>On Line Journal Entries</v>
      </c>
      <c r="J737" s="412">
        <v>3598444.88</v>
      </c>
      <c r="K737" s="385">
        <v>45510</v>
      </c>
      <c r="L737" s="387" t="s">
        <v>1424</v>
      </c>
      <c r="M737" s="388">
        <v>45510.369201388887</v>
      </c>
      <c r="N737" s="368" t="s">
        <v>4232</v>
      </c>
      <c r="O737" s="368" t="s">
        <v>376</v>
      </c>
    </row>
    <row r="738" spans="1:15" ht="30" hidden="1" outlineLevel="1">
      <c r="B738" s="384">
        <v>2024</v>
      </c>
      <c r="C738" s="384">
        <v>12</v>
      </c>
      <c r="D738" s="367" t="s">
        <v>5</v>
      </c>
      <c r="E738" s="367" t="s">
        <v>6</v>
      </c>
      <c r="F738" s="367" t="s">
        <v>1416</v>
      </c>
      <c r="G738" s="385">
        <v>45473</v>
      </c>
      <c r="H738" s="367" t="s">
        <v>9</v>
      </c>
      <c r="I738" s="368" t="str">
        <f>VLOOKUP(H738,'[2]Source Codes'!A$2:B$115,2,FALSE)</f>
        <v>On Line Journal Entries</v>
      </c>
      <c r="J738" s="412">
        <v>2333179.4500000002</v>
      </c>
      <c r="K738" s="385">
        <v>45510</v>
      </c>
      <c r="L738" s="387" t="s">
        <v>1426</v>
      </c>
      <c r="M738" s="388">
        <v>45510.376226851855</v>
      </c>
      <c r="N738" s="368" t="s">
        <v>506</v>
      </c>
      <c r="O738" s="368" t="s">
        <v>376</v>
      </c>
    </row>
    <row r="739" spans="1:15" ht="15" hidden="1" outlineLevel="1">
      <c r="B739" s="384">
        <v>2024</v>
      </c>
      <c r="C739" s="384">
        <v>12</v>
      </c>
      <c r="D739" s="367" t="s">
        <v>5</v>
      </c>
      <c r="E739" s="367" t="s">
        <v>6</v>
      </c>
      <c r="F739" s="367" t="s">
        <v>1417</v>
      </c>
      <c r="G739" s="385">
        <v>45470</v>
      </c>
      <c r="H739" s="367" t="s">
        <v>9</v>
      </c>
      <c r="I739" s="368" t="str">
        <f>VLOOKUP(H739,'[2]Source Codes'!A$2:B$115,2,FALSE)</f>
        <v>On Line Journal Entries</v>
      </c>
      <c r="J739" s="412">
        <v>1558825.23</v>
      </c>
      <c r="K739" s="385">
        <v>45510</v>
      </c>
      <c r="L739" s="387" t="s">
        <v>1420</v>
      </c>
      <c r="M739" s="388">
        <v>45510.869733796295</v>
      </c>
      <c r="N739" s="368" t="s">
        <v>359</v>
      </c>
      <c r="O739" s="368" t="s">
        <v>371</v>
      </c>
    </row>
    <row r="740" spans="1:15" ht="30" hidden="1" outlineLevel="1">
      <c r="B740" s="384">
        <v>2024</v>
      </c>
      <c r="C740" s="384">
        <v>12</v>
      </c>
      <c r="D740" s="367" t="s">
        <v>5</v>
      </c>
      <c r="E740" s="367" t="s">
        <v>6</v>
      </c>
      <c r="F740" s="367" t="s">
        <v>1418</v>
      </c>
      <c r="G740" s="385">
        <v>45473</v>
      </c>
      <c r="H740" s="367" t="s">
        <v>9</v>
      </c>
      <c r="I740" s="368" t="str">
        <f>VLOOKUP(H740,'[2]Source Codes'!A$2:B$115,2,FALSE)</f>
        <v>On Line Journal Entries</v>
      </c>
      <c r="J740" s="412">
        <v>1432845.96</v>
      </c>
      <c r="K740" s="385">
        <v>45510</v>
      </c>
      <c r="L740" s="387" t="s">
        <v>1427</v>
      </c>
      <c r="M740" s="388">
        <v>45510.380844907406</v>
      </c>
      <c r="N740" s="368" t="s">
        <v>506</v>
      </c>
      <c r="O740" s="368" t="s">
        <v>376</v>
      </c>
    </row>
    <row r="741" spans="1:15" ht="45" hidden="1" outlineLevel="1">
      <c r="B741" s="384">
        <v>2024</v>
      </c>
      <c r="C741" s="384">
        <v>12</v>
      </c>
      <c r="D741" s="367" t="s">
        <v>5</v>
      </c>
      <c r="E741" s="367" t="s">
        <v>6</v>
      </c>
      <c r="F741" s="367" t="s">
        <v>1419</v>
      </c>
      <c r="G741" s="385">
        <v>45473</v>
      </c>
      <c r="H741" s="367" t="s">
        <v>9</v>
      </c>
      <c r="I741" s="368" t="str">
        <f>VLOOKUP(H741,'[2]Source Codes'!A$2:B$115,2,FALSE)</f>
        <v>On Line Journal Entries</v>
      </c>
      <c r="J741" s="412">
        <v>1118905</v>
      </c>
      <c r="K741" s="385">
        <v>45510</v>
      </c>
      <c r="L741" s="387" t="s">
        <v>1428</v>
      </c>
      <c r="M741" s="388">
        <v>45510.869733796295</v>
      </c>
      <c r="N741" s="368" t="s">
        <v>506</v>
      </c>
      <c r="O741" s="368" t="s">
        <v>358</v>
      </c>
    </row>
    <row r="742" spans="1:15" ht="15" hidden="1" outlineLevel="1">
      <c r="B742" s="384">
        <v>2025</v>
      </c>
      <c r="C742" s="384">
        <v>2</v>
      </c>
      <c r="D742" s="367" t="s">
        <v>5</v>
      </c>
      <c r="E742" s="367" t="s">
        <v>6</v>
      </c>
      <c r="F742" s="367" t="s">
        <v>1421</v>
      </c>
      <c r="G742" s="385">
        <v>45505</v>
      </c>
      <c r="H742" s="367" t="s">
        <v>13</v>
      </c>
      <c r="I742" s="368" t="str">
        <f>VLOOKUP(H742,'[2]Source Codes'!A$2:B$115,2,FALSE)</f>
        <v>C-IV Voucher/Payments/EBT</v>
      </c>
      <c r="J742" s="412">
        <v>-9815289.0399999991</v>
      </c>
      <c r="K742" s="385">
        <v>45510</v>
      </c>
      <c r="L742" s="387" t="s">
        <v>388</v>
      </c>
      <c r="M742" s="388">
        <v>45510.869756944441</v>
      </c>
      <c r="N742" s="368" t="s">
        <v>359</v>
      </c>
      <c r="O742" s="368" t="s">
        <v>364</v>
      </c>
    </row>
    <row r="743" spans="1:15" ht="12.75" customHeight="1" collapsed="1">
      <c r="I743" s="368"/>
      <c r="J743" s="413">
        <f>SUM(J730:J742)</f>
        <v>30985218.530000001</v>
      </c>
    </row>
    <row r="744" spans="1:15" ht="12.75" customHeight="1">
      <c r="I744" s="368"/>
    </row>
    <row r="745" spans="1:15" ht="12.75" customHeight="1">
      <c r="I745" s="368"/>
      <c r="M745" s="388"/>
    </row>
    <row r="746" spans="1:15" ht="15">
      <c r="A746" s="378" t="s">
        <v>1430</v>
      </c>
    </row>
    <row r="747" spans="1:15" ht="75" hidden="1" outlineLevel="1">
      <c r="B747" s="384">
        <v>2025</v>
      </c>
      <c r="C747" s="384">
        <v>2</v>
      </c>
      <c r="D747" s="367">
        <v>10000</v>
      </c>
      <c r="E747" s="367">
        <v>101100</v>
      </c>
      <c r="F747" s="367" t="s">
        <v>1431</v>
      </c>
      <c r="G747" s="385">
        <v>45511</v>
      </c>
      <c r="H747" s="367" t="s">
        <v>14</v>
      </c>
      <c r="I747" s="368" t="str">
        <f>VLOOKUP(H747,'[2]Source Codes'!A$2:B$115,2,FALSE)</f>
        <v>AP Warrant Issuance</v>
      </c>
      <c r="J747" s="412">
        <v>-9091187.4700000007</v>
      </c>
      <c r="K747" s="385">
        <v>45511</v>
      </c>
      <c r="L747" s="387" t="s">
        <v>1444</v>
      </c>
      <c r="M747" s="388">
        <v>45511.793495370373</v>
      </c>
      <c r="N747" s="368" t="s">
        <v>359</v>
      </c>
      <c r="O747" s="368" t="s">
        <v>368</v>
      </c>
    </row>
    <row r="748" spans="1:15" ht="30" hidden="1" outlineLevel="1">
      <c r="B748" s="384">
        <v>2025</v>
      </c>
      <c r="C748" s="384">
        <v>2</v>
      </c>
      <c r="D748" s="367">
        <v>10000</v>
      </c>
      <c r="E748" s="367">
        <v>101100</v>
      </c>
      <c r="F748" s="367" t="s">
        <v>1432</v>
      </c>
      <c r="G748" s="385">
        <v>45513</v>
      </c>
      <c r="H748" s="367" t="s">
        <v>14</v>
      </c>
      <c r="I748" s="368" t="str">
        <f>VLOOKUP(H748,'[2]Source Codes'!A$2:B$115,2,FALSE)</f>
        <v>AP Warrant Issuance</v>
      </c>
      <c r="J748" s="412">
        <v>-6234860.71</v>
      </c>
      <c r="K748" s="385">
        <v>45511</v>
      </c>
      <c r="L748" s="387" t="s">
        <v>1440</v>
      </c>
      <c r="M748" s="388">
        <v>45511.793495370373</v>
      </c>
      <c r="N748" s="368" t="s">
        <v>359</v>
      </c>
      <c r="O748" s="368" t="s">
        <v>368</v>
      </c>
    </row>
    <row r="749" spans="1:15" ht="30" hidden="1" outlineLevel="1">
      <c r="B749" s="384">
        <v>2025</v>
      </c>
      <c r="C749" s="384">
        <v>2</v>
      </c>
      <c r="D749" s="367">
        <v>10000</v>
      </c>
      <c r="E749" s="367">
        <v>101100</v>
      </c>
      <c r="F749" s="367" t="s">
        <v>1433</v>
      </c>
      <c r="G749" s="385">
        <v>45509</v>
      </c>
      <c r="H749" s="367" t="s">
        <v>11</v>
      </c>
      <c r="I749" s="368" t="str">
        <f>VLOOKUP(H749,'[2]Source Codes'!A$2:B$115,2,FALSE)</f>
        <v>AR Payments</v>
      </c>
      <c r="J749" s="412">
        <v>5305235.09</v>
      </c>
      <c r="K749" s="385">
        <v>45511</v>
      </c>
      <c r="L749" s="387" t="s">
        <v>1442</v>
      </c>
      <c r="M749" s="388">
        <v>45511.751828703702</v>
      </c>
      <c r="N749" s="368" t="s">
        <v>361</v>
      </c>
      <c r="O749" s="368" t="s">
        <v>376</v>
      </c>
    </row>
    <row r="750" spans="1:15" ht="15" hidden="1" outlineLevel="1">
      <c r="B750" s="384">
        <v>2025</v>
      </c>
      <c r="C750" s="384">
        <v>1</v>
      </c>
      <c r="D750" s="367">
        <v>10000</v>
      </c>
      <c r="E750" s="367">
        <v>101100</v>
      </c>
      <c r="F750" s="367" t="s">
        <v>1434</v>
      </c>
      <c r="G750" s="385">
        <v>45500</v>
      </c>
      <c r="H750" s="367" t="s">
        <v>9</v>
      </c>
      <c r="I750" s="368" t="str">
        <f>VLOOKUP(H750,'[2]Source Codes'!A$2:B$115,2,FALSE)</f>
        <v>On Line Journal Entries</v>
      </c>
      <c r="J750" s="412">
        <v>29826306.23</v>
      </c>
      <c r="K750" s="385">
        <v>45511</v>
      </c>
      <c r="L750" s="387" t="s">
        <v>1441</v>
      </c>
      <c r="M750" s="388">
        <v>45511.87127314815</v>
      </c>
      <c r="N750" s="368" t="s">
        <v>356</v>
      </c>
      <c r="O750" s="368" t="s">
        <v>371</v>
      </c>
    </row>
    <row r="751" spans="1:15" ht="60" hidden="1" outlineLevel="1">
      <c r="B751" s="384">
        <v>2024</v>
      </c>
      <c r="C751" s="384">
        <v>12</v>
      </c>
      <c r="D751" s="367">
        <v>10000</v>
      </c>
      <c r="E751" s="367">
        <v>101100</v>
      </c>
      <c r="F751" s="367" t="s">
        <v>1435</v>
      </c>
      <c r="G751" s="385">
        <v>45449</v>
      </c>
      <c r="H751" s="367" t="s">
        <v>9</v>
      </c>
      <c r="I751" s="368" t="str">
        <f>VLOOKUP(H751,'[2]Source Codes'!A$2:B$115,2,FALSE)</f>
        <v>On Line Journal Entries</v>
      </c>
      <c r="J751" s="412">
        <v>5544520.6699999999</v>
      </c>
      <c r="K751" s="385">
        <v>45511</v>
      </c>
      <c r="L751" s="387" t="s">
        <v>347</v>
      </c>
      <c r="M751" s="388">
        <v>45511.464328703703</v>
      </c>
      <c r="N751" s="368" t="s">
        <v>356</v>
      </c>
      <c r="O751" s="368" t="s">
        <v>364</v>
      </c>
    </row>
    <row r="752" spans="1:15" ht="15" hidden="1" outlineLevel="1">
      <c r="B752" s="384">
        <v>2025</v>
      </c>
      <c r="C752" s="384">
        <v>1</v>
      </c>
      <c r="D752" s="367">
        <v>10000</v>
      </c>
      <c r="E752" s="367">
        <v>101100</v>
      </c>
      <c r="F752" s="367" t="s">
        <v>1436</v>
      </c>
      <c r="G752" s="385">
        <v>45500</v>
      </c>
      <c r="H752" s="367" t="s">
        <v>9</v>
      </c>
      <c r="I752" s="368" t="str">
        <f>VLOOKUP(H752,'[2]Source Codes'!A$2:B$115,2,FALSE)</f>
        <v>On Line Journal Entries</v>
      </c>
      <c r="J752" s="412">
        <v>2049416.99</v>
      </c>
      <c r="K752" s="385">
        <v>45511</v>
      </c>
      <c r="L752" s="387" t="s">
        <v>1438</v>
      </c>
      <c r="M752" s="388">
        <v>45511.87127314815</v>
      </c>
      <c r="N752" s="368" t="s">
        <v>356</v>
      </c>
      <c r="O752" s="368" t="s">
        <v>371</v>
      </c>
    </row>
    <row r="753" spans="1:15" ht="30" hidden="1" outlineLevel="1">
      <c r="B753" s="384">
        <v>2024</v>
      </c>
      <c r="C753" s="384">
        <v>12</v>
      </c>
      <c r="D753" s="367">
        <v>10000</v>
      </c>
      <c r="E753" s="367">
        <v>101100</v>
      </c>
      <c r="F753" s="367" t="s">
        <v>1437</v>
      </c>
      <c r="G753" s="385">
        <v>45473</v>
      </c>
      <c r="H753" s="367" t="s">
        <v>337</v>
      </c>
      <c r="I753" s="368" t="str">
        <f>VLOOKUP(H753,'[2]Source Codes'!A$2:B$115,2,FALSE)</f>
        <v>Facilities Mngmnt Intfc Jrnls</v>
      </c>
      <c r="J753" s="412">
        <v>1009657.67</v>
      </c>
      <c r="K753" s="385">
        <v>45511</v>
      </c>
      <c r="L753" s="387" t="s">
        <v>1443</v>
      </c>
      <c r="M753" s="388">
        <v>45511.87127314815</v>
      </c>
      <c r="N753" s="368" t="s">
        <v>360</v>
      </c>
      <c r="O753" s="368" t="s">
        <v>367</v>
      </c>
    </row>
    <row r="754" spans="1:15" ht="30" hidden="1" outlineLevel="1">
      <c r="B754" s="384">
        <v>2024</v>
      </c>
      <c r="C754" s="384">
        <v>12</v>
      </c>
      <c r="D754" s="367">
        <v>10000</v>
      </c>
      <c r="E754" s="367">
        <v>101100</v>
      </c>
      <c r="F754" s="367" t="s">
        <v>1439</v>
      </c>
      <c r="G754" s="385">
        <v>45473</v>
      </c>
      <c r="H754" s="367" t="s">
        <v>337</v>
      </c>
      <c r="I754" s="368" t="str">
        <f>VLOOKUP(H754,'[2]Source Codes'!A$2:B$115,2,FALSE)</f>
        <v>Facilities Mngmnt Intfc Jrnls</v>
      </c>
      <c r="J754" s="412">
        <v>-1020460.19</v>
      </c>
      <c r="K754" s="385">
        <v>45511</v>
      </c>
      <c r="L754" s="387" t="s">
        <v>1357</v>
      </c>
      <c r="M754" s="388">
        <v>45511.87127314815</v>
      </c>
      <c r="N754" s="368" t="s">
        <v>360</v>
      </c>
      <c r="O754" s="368" t="s">
        <v>367</v>
      </c>
    </row>
    <row r="755" spans="1:15" ht="12.75" customHeight="1" collapsed="1">
      <c r="J755" s="413">
        <f>SUM(J747:J754)</f>
        <v>27388628.280000001</v>
      </c>
    </row>
    <row r="757" spans="1:15" ht="12.75" customHeight="1">
      <c r="A757" s="378" t="s">
        <v>1445</v>
      </c>
    </row>
    <row r="758" spans="1:15" ht="30" hidden="1" outlineLevel="1">
      <c r="B758" s="384">
        <v>2025</v>
      </c>
      <c r="C758" s="384">
        <v>2</v>
      </c>
      <c r="D758" s="367" t="s">
        <v>5</v>
      </c>
      <c r="E758" s="367" t="s">
        <v>6</v>
      </c>
      <c r="F758" s="367" t="s">
        <v>1446</v>
      </c>
      <c r="G758" s="385">
        <v>45516</v>
      </c>
      <c r="H758" s="367" t="s">
        <v>14</v>
      </c>
      <c r="I758" s="368" t="str">
        <f>VLOOKUP(H758,'[2]Source Codes'!A$2:B$115,2,FALSE)</f>
        <v>AP Warrant Issuance</v>
      </c>
      <c r="J758" s="412">
        <v>-1543424.66</v>
      </c>
      <c r="K758" s="385">
        <v>45512</v>
      </c>
      <c r="L758" s="387" t="s">
        <v>1450</v>
      </c>
      <c r="M758" s="388">
        <v>45512.793530092589</v>
      </c>
      <c r="N758" s="368" t="s">
        <v>359</v>
      </c>
      <c r="O758" s="368" t="s">
        <v>368</v>
      </c>
    </row>
    <row r="759" spans="1:15" ht="30" hidden="1" outlineLevel="1">
      <c r="B759" s="384">
        <v>2025</v>
      </c>
      <c r="C759" s="384">
        <v>2</v>
      </c>
      <c r="D759" s="367" t="s">
        <v>5</v>
      </c>
      <c r="E759" s="367" t="s">
        <v>6</v>
      </c>
      <c r="F759" s="367" t="s">
        <v>1447</v>
      </c>
      <c r="G759" s="385">
        <v>45512</v>
      </c>
      <c r="H759" s="367" t="s">
        <v>14</v>
      </c>
      <c r="I759" s="368" t="str">
        <f>VLOOKUP(H759,'[2]Source Codes'!A$2:B$115,2,FALSE)</f>
        <v>AP Warrant Issuance</v>
      </c>
      <c r="J759" s="412">
        <v>-1200474.08</v>
      </c>
      <c r="K759" s="385">
        <v>45512</v>
      </c>
      <c r="L759" s="387" t="s">
        <v>1451</v>
      </c>
      <c r="M759" s="388">
        <v>45512.793530092589</v>
      </c>
      <c r="N759" s="368" t="s">
        <v>359</v>
      </c>
      <c r="O759" s="368" t="s">
        <v>368</v>
      </c>
    </row>
    <row r="760" spans="1:15" ht="12.75" hidden="1" customHeight="1" outlineLevel="1">
      <c r="B760" s="384">
        <v>2024</v>
      </c>
      <c r="C760" s="384">
        <v>12</v>
      </c>
      <c r="D760" s="367" t="s">
        <v>5</v>
      </c>
      <c r="E760" s="367" t="s">
        <v>6</v>
      </c>
      <c r="F760" s="367" t="s">
        <v>1448</v>
      </c>
      <c r="G760" s="385">
        <v>45473</v>
      </c>
      <c r="H760" s="367" t="s">
        <v>337</v>
      </c>
      <c r="I760" s="368" t="str">
        <f>VLOOKUP(H760,'[2]Source Codes'!A$2:B$115,2,FALSE)</f>
        <v>Facilities Mngmnt Intfc Jrnls</v>
      </c>
      <c r="J760" s="412">
        <v>-3648945.31</v>
      </c>
      <c r="K760" s="385">
        <v>45512</v>
      </c>
      <c r="L760" s="387" t="s">
        <v>1449</v>
      </c>
      <c r="M760" s="388">
        <v>45512.870567129627</v>
      </c>
      <c r="N760" s="368" t="s">
        <v>356</v>
      </c>
      <c r="O760" s="368" t="s">
        <v>367</v>
      </c>
    </row>
    <row r="761" spans="1:15" ht="12.75" customHeight="1" collapsed="1">
      <c r="J761" s="413">
        <f>SUM(J758:J760)</f>
        <v>-6392844.0500000007</v>
      </c>
    </row>
    <row r="763" spans="1:15" ht="12.75" customHeight="1">
      <c r="A763" s="378" t="s">
        <v>1452</v>
      </c>
    </row>
    <row r="764" spans="1:15" ht="30" hidden="1" outlineLevel="1">
      <c r="B764" s="384">
        <v>2025</v>
      </c>
      <c r="C764" s="384">
        <v>2</v>
      </c>
      <c r="D764" s="367" t="s">
        <v>5</v>
      </c>
      <c r="E764" s="367" t="s">
        <v>6</v>
      </c>
      <c r="F764" s="367" t="s">
        <v>1453</v>
      </c>
      <c r="G764" s="385">
        <v>45517</v>
      </c>
      <c r="H764" s="367" t="s">
        <v>14</v>
      </c>
      <c r="I764" s="368" t="str">
        <f>VLOOKUP(H764,'[2]Source Codes'!A$2:B$115,2,FALSE)</f>
        <v>AP Warrant Issuance</v>
      </c>
      <c r="J764" s="412">
        <v>-1472339.66</v>
      </c>
      <c r="K764" s="385">
        <v>45513</v>
      </c>
      <c r="L764" s="387" t="s">
        <v>1456</v>
      </c>
      <c r="M764" s="388">
        <v>45512.793530092589</v>
      </c>
      <c r="N764" s="368" t="s">
        <v>359</v>
      </c>
      <c r="O764" s="368" t="s">
        <v>368</v>
      </c>
    </row>
    <row r="765" spans="1:15" ht="45" hidden="1" outlineLevel="1">
      <c r="B765" s="384">
        <v>2025</v>
      </c>
      <c r="C765" s="384">
        <v>2</v>
      </c>
      <c r="D765" s="367" t="s">
        <v>5</v>
      </c>
      <c r="E765" s="367" t="s">
        <v>6</v>
      </c>
      <c r="F765" s="367" t="s">
        <v>1454</v>
      </c>
      <c r="G765" s="385">
        <v>45510</v>
      </c>
      <c r="H765" s="367" t="s">
        <v>11</v>
      </c>
      <c r="I765" s="368" t="str">
        <f>VLOOKUP(H765,'[2]Source Codes'!A$2:B$115,2,FALSE)</f>
        <v>AR Payments</v>
      </c>
      <c r="J765" s="412">
        <v>3630333.26</v>
      </c>
      <c r="K765" s="385">
        <v>45513</v>
      </c>
      <c r="L765" s="387" t="s">
        <v>1455</v>
      </c>
      <c r="M765" s="388">
        <v>45513.751863425925</v>
      </c>
      <c r="N765" s="368" t="s">
        <v>359</v>
      </c>
      <c r="O765" s="368" t="s">
        <v>357</v>
      </c>
    </row>
    <row r="766" spans="1:15" ht="12.75" customHeight="1" collapsed="1">
      <c r="J766" s="413">
        <f>SUM(J764:J765)</f>
        <v>2157993.5999999996</v>
      </c>
    </row>
    <row r="768" spans="1:15" ht="15">
      <c r="A768" s="378" t="s">
        <v>1471</v>
      </c>
    </row>
    <row r="769" spans="1:15" ht="30" hidden="1" outlineLevel="1">
      <c r="B769" s="384">
        <v>2025</v>
      </c>
      <c r="C769" s="384">
        <v>2</v>
      </c>
      <c r="D769" s="367" t="s">
        <v>5</v>
      </c>
      <c r="E769" s="367" t="s">
        <v>6</v>
      </c>
      <c r="F769" s="367" t="s">
        <v>1457</v>
      </c>
      <c r="G769" s="385">
        <v>45516</v>
      </c>
      <c r="H769" s="367" t="s">
        <v>14</v>
      </c>
      <c r="I769" s="368" t="str">
        <f>VLOOKUP(H769,'[2]Source Codes'!A$2:B$115,2,FALSE)</f>
        <v>AP Warrant Issuance</v>
      </c>
      <c r="J769" s="412">
        <v>-3149854.35</v>
      </c>
      <c r="K769" s="385">
        <v>45516</v>
      </c>
      <c r="L769" s="387" t="s">
        <v>1468</v>
      </c>
      <c r="M769" s="388">
        <v>45516.793530092589</v>
      </c>
      <c r="N769" s="368" t="s">
        <v>359</v>
      </c>
      <c r="O769" s="368" t="s">
        <v>368</v>
      </c>
    </row>
    <row r="770" spans="1:15" ht="30" hidden="1" outlineLevel="1">
      <c r="B770" s="384">
        <v>2025</v>
      </c>
      <c r="C770" s="384">
        <v>2</v>
      </c>
      <c r="D770" s="367" t="s">
        <v>5</v>
      </c>
      <c r="E770" s="367" t="s">
        <v>6</v>
      </c>
      <c r="F770" s="367" t="s">
        <v>1458</v>
      </c>
      <c r="G770" s="385">
        <v>45518</v>
      </c>
      <c r="H770" s="367" t="s">
        <v>14</v>
      </c>
      <c r="I770" s="368" t="str">
        <f>VLOOKUP(H770,'[2]Source Codes'!A$2:B$115,2,FALSE)</f>
        <v>AP Warrant Issuance</v>
      </c>
      <c r="J770" s="412">
        <v>-5824153.9800000004</v>
      </c>
      <c r="K770" s="385">
        <v>45516</v>
      </c>
      <c r="L770" s="387" t="s">
        <v>1469</v>
      </c>
      <c r="M770" s="388">
        <v>45516.793530092589</v>
      </c>
      <c r="N770" s="368" t="s">
        <v>359</v>
      </c>
      <c r="O770" s="368" t="s">
        <v>368</v>
      </c>
    </row>
    <row r="771" spans="1:15" ht="45" hidden="1" outlineLevel="1">
      <c r="B771" s="384">
        <v>2024</v>
      </c>
      <c r="C771" s="384">
        <v>12</v>
      </c>
      <c r="D771" s="367">
        <v>10000</v>
      </c>
      <c r="E771" s="367">
        <v>101100</v>
      </c>
      <c r="F771" s="391" t="s">
        <v>1459</v>
      </c>
      <c r="G771" s="385">
        <v>45473</v>
      </c>
      <c r="H771" s="367" t="s">
        <v>9</v>
      </c>
      <c r="I771" s="368" t="str">
        <f>VLOOKUP(H771,'[2]Source Codes'!A$2:B$115,2,FALSE)</f>
        <v>On Line Journal Entries</v>
      </c>
      <c r="J771" s="412">
        <v>30631734.920000002</v>
      </c>
      <c r="K771" s="385">
        <v>45516</v>
      </c>
      <c r="L771" s="387" t="s">
        <v>396</v>
      </c>
      <c r="M771" s="388">
        <v>45516.348356481481</v>
      </c>
      <c r="N771" s="368" t="s">
        <v>356</v>
      </c>
      <c r="O771" s="368" t="s">
        <v>364</v>
      </c>
    </row>
    <row r="772" spans="1:15" ht="45" hidden="1" outlineLevel="1">
      <c r="B772" s="384">
        <v>2024</v>
      </c>
      <c r="C772" s="384">
        <v>12</v>
      </c>
      <c r="D772" s="367">
        <v>10000</v>
      </c>
      <c r="E772" s="367">
        <v>101100</v>
      </c>
      <c r="F772" s="391" t="s">
        <v>1460</v>
      </c>
      <c r="G772" s="385">
        <v>45470</v>
      </c>
      <c r="H772" s="367" t="s">
        <v>9</v>
      </c>
      <c r="I772" s="368" t="str">
        <f>VLOOKUP(H772,'[2]Source Codes'!A$2:B$115,2,FALSE)</f>
        <v>On Line Journal Entries</v>
      </c>
      <c r="J772" s="412">
        <v>11244921</v>
      </c>
      <c r="K772" s="385">
        <v>45516</v>
      </c>
      <c r="L772" s="387" t="s">
        <v>1461</v>
      </c>
      <c r="M772" s="388">
        <v>45516.869884259257</v>
      </c>
      <c r="N772" s="368" t="s">
        <v>356</v>
      </c>
      <c r="O772" s="368" t="s">
        <v>371</v>
      </c>
    </row>
    <row r="773" spans="1:15" ht="30" hidden="1" outlineLevel="1">
      <c r="B773" s="384">
        <v>2024</v>
      </c>
      <c r="C773" s="384">
        <v>12</v>
      </c>
      <c r="D773" s="367">
        <v>10000</v>
      </c>
      <c r="E773" s="367">
        <v>101100</v>
      </c>
      <c r="F773" s="391" t="s">
        <v>1462</v>
      </c>
      <c r="G773" s="385">
        <v>45473</v>
      </c>
      <c r="H773" s="367" t="s">
        <v>9</v>
      </c>
      <c r="I773" s="368" t="str">
        <f>VLOOKUP(H773,'[2]Source Codes'!A$2:B$115,2,FALSE)</f>
        <v>On Line Journal Entries</v>
      </c>
      <c r="J773" s="412">
        <v>5208910</v>
      </c>
      <c r="K773" s="385">
        <v>45516</v>
      </c>
      <c r="L773" s="387" t="s">
        <v>1467</v>
      </c>
      <c r="M773" s="388">
        <v>45516.869884259257</v>
      </c>
      <c r="N773" s="368" t="s">
        <v>356</v>
      </c>
      <c r="O773" s="368" t="s">
        <v>358</v>
      </c>
    </row>
    <row r="774" spans="1:15" ht="15" hidden="1" outlineLevel="1">
      <c r="B774" s="384">
        <v>2024</v>
      </c>
      <c r="C774" s="384">
        <v>12</v>
      </c>
      <c r="D774" s="367">
        <v>10000</v>
      </c>
      <c r="E774" s="367">
        <v>101100</v>
      </c>
      <c r="F774" s="391" t="s">
        <v>1463</v>
      </c>
      <c r="G774" s="385">
        <v>45464</v>
      </c>
      <c r="H774" s="367" t="s">
        <v>9</v>
      </c>
      <c r="I774" s="368" t="str">
        <f>VLOOKUP(H774,'[2]Source Codes'!A$2:B$115,2,FALSE)</f>
        <v>On Line Journal Entries</v>
      </c>
      <c r="J774" s="412">
        <v>4951915</v>
      </c>
      <c r="K774" s="385">
        <v>45516</v>
      </c>
      <c r="L774" s="387" t="s">
        <v>1466</v>
      </c>
      <c r="M774" s="388">
        <v>45516.869884259257</v>
      </c>
      <c r="N774" s="368" t="s">
        <v>356</v>
      </c>
      <c r="O774" s="368" t="s">
        <v>368</v>
      </c>
    </row>
    <row r="775" spans="1:15" ht="60" hidden="1" outlineLevel="1">
      <c r="B775" s="384">
        <v>2024</v>
      </c>
      <c r="C775" s="384">
        <v>12</v>
      </c>
      <c r="D775" s="367">
        <v>10000</v>
      </c>
      <c r="E775" s="367">
        <v>101100</v>
      </c>
      <c r="F775" s="391" t="s">
        <v>1464</v>
      </c>
      <c r="G775" s="385">
        <v>45470</v>
      </c>
      <c r="H775" s="367" t="s">
        <v>9</v>
      </c>
      <c r="I775" s="368" t="str">
        <f>VLOOKUP(H775,'[2]Source Codes'!A$2:B$115,2,FALSE)</f>
        <v>On Line Journal Entries</v>
      </c>
      <c r="J775" s="412">
        <v>3348859.09</v>
      </c>
      <c r="K775" s="385">
        <v>45516</v>
      </c>
      <c r="L775" s="387" t="s">
        <v>1465</v>
      </c>
      <c r="M775" s="388">
        <v>45516.869884259257</v>
      </c>
      <c r="N775" s="368" t="s">
        <v>356</v>
      </c>
      <c r="O775" s="368" t="s">
        <v>371</v>
      </c>
    </row>
    <row r="776" spans="1:15" ht="12.75" customHeight="1" collapsed="1">
      <c r="J776" s="413">
        <f>SUM(J769:J775)</f>
        <v>46412331.680000007</v>
      </c>
    </row>
    <row r="778" spans="1:15" ht="12.75" customHeight="1">
      <c r="A778" s="378" t="s">
        <v>1470</v>
      </c>
    </row>
    <row r="779" spans="1:15" ht="60" hidden="1" outlineLevel="1">
      <c r="B779" s="384">
        <v>2025</v>
      </c>
      <c r="C779" s="384">
        <v>2</v>
      </c>
      <c r="D779" s="367" t="s">
        <v>5</v>
      </c>
      <c r="E779" s="367" t="s">
        <v>6</v>
      </c>
      <c r="F779" s="367" t="s">
        <v>1472</v>
      </c>
      <c r="G779" s="385">
        <v>45517</v>
      </c>
      <c r="H779" s="367" t="s">
        <v>14</v>
      </c>
      <c r="I779" s="368" t="str">
        <f>VLOOKUP(H779,'[2]Source Codes'!A$2:B$115,2,FALSE)</f>
        <v>AP Warrant Issuance</v>
      </c>
      <c r="J779" s="412">
        <v>-2172407.31</v>
      </c>
      <c r="K779" s="385">
        <v>45517</v>
      </c>
      <c r="L779" s="387" t="s">
        <v>1474</v>
      </c>
      <c r="M779" s="388">
        <v>45517.793530092589</v>
      </c>
      <c r="N779" s="368" t="s">
        <v>359</v>
      </c>
      <c r="O779" s="368" t="s">
        <v>370</v>
      </c>
    </row>
    <row r="780" spans="1:15" ht="30" hidden="1" outlineLevel="1">
      <c r="B780" s="384">
        <v>2024</v>
      </c>
      <c r="C780" s="384">
        <v>12</v>
      </c>
      <c r="D780" s="367" t="s">
        <v>5</v>
      </c>
      <c r="E780" s="367" t="s">
        <v>6</v>
      </c>
      <c r="F780" s="367">
        <v>2595805</v>
      </c>
      <c r="G780" s="385">
        <v>45473</v>
      </c>
      <c r="H780" s="367" t="s">
        <v>9</v>
      </c>
      <c r="I780" s="368" t="str">
        <f>VLOOKUP(H780,'[2]Source Codes'!A$2:B$115,2,FALSE)</f>
        <v>On Line Journal Entries</v>
      </c>
      <c r="J780" s="412">
        <v>1809869.45</v>
      </c>
      <c r="K780" s="385">
        <v>45517</v>
      </c>
      <c r="L780" s="387" t="s">
        <v>1473</v>
      </c>
      <c r="M780" s="388">
        <v>45517.86922453704</v>
      </c>
      <c r="N780" s="368" t="s">
        <v>359</v>
      </c>
      <c r="O780" s="368" t="s">
        <v>368</v>
      </c>
    </row>
    <row r="781" spans="1:15" ht="12.75" customHeight="1" collapsed="1">
      <c r="J781" s="413">
        <f>SUM(J779:J780)</f>
        <v>-362537.8600000001</v>
      </c>
    </row>
    <row r="782" spans="1:15" ht="15"/>
    <row r="783" spans="1:15" ht="15">
      <c r="A783" s="378" t="s">
        <v>1475</v>
      </c>
    </row>
    <row r="784" spans="1:15" ht="30" hidden="1" outlineLevel="1">
      <c r="B784" s="384">
        <v>2025</v>
      </c>
      <c r="C784" s="384">
        <v>2</v>
      </c>
      <c r="D784" s="367" t="s">
        <v>5</v>
      </c>
      <c r="E784" s="367" t="s">
        <v>6</v>
      </c>
      <c r="F784" s="367" t="s">
        <v>1476</v>
      </c>
      <c r="G784" s="385">
        <v>45513</v>
      </c>
      <c r="H784" s="367" t="s">
        <v>11</v>
      </c>
      <c r="I784" s="368" t="str">
        <f>VLOOKUP(H784,'[2]Source Codes'!A$2:B$115,2,FALSE)</f>
        <v>AR Payments</v>
      </c>
      <c r="J784" s="412">
        <v>2002158.81</v>
      </c>
      <c r="K784" s="385">
        <v>45518</v>
      </c>
      <c r="L784" s="387" t="s">
        <v>958</v>
      </c>
      <c r="M784" s="388">
        <v>45518.751863425925</v>
      </c>
      <c r="N784" s="368" t="s">
        <v>359</v>
      </c>
      <c r="O784" s="368" t="s">
        <v>357</v>
      </c>
    </row>
    <row r="785" spans="1:15" ht="30" hidden="1" outlineLevel="1">
      <c r="B785" s="384">
        <v>2025</v>
      </c>
      <c r="C785" s="384">
        <v>2</v>
      </c>
      <c r="D785" s="367" t="s">
        <v>5</v>
      </c>
      <c r="E785" s="367" t="s">
        <v>6</v>
      </c>
      <c r="F785" s="367" t="s">
        <v>1477</v>
      </c>
      <c r="G785" s="385">
        <v>45516</v>
      </c>
      <c r="H785" s="367" t="s">
        <v>11</v>
      </c>
      <c r="I785" s="368" t="str">
        <f>VLOOKUP(H785,'[2]Source Codes'!A$2:B$115,2,FALSE)</f>
        <v>AR Payments</v>
      </c>
      <c r="J785" s="412">
        <v>3829600.59</v>
      </c>
      <c r="K785" s="385">
        <v>45518</v>
      </c>
      <c r="L785" s="387" t="s">
        <v>1484</v>
      </c>
      <c r="M785" s="388">
        <v>45518.751863425925</v>
      </c>
      <c r="N785" s="368" t="s">
        <v>359</v>
      </c>
      <c r="O785" s="368" t="s">
        <v>357</v>
      </c>
    </row>
    <row r="786" spans="1:15" ht="15" hidden="1" outlineLevel="1">
      <c r="B786" s="384">
        <v>2024</v>
      </c>
      <c r="C786" s="384">
        <v>12</v>
      </c>
      <c r="D786" s="367" t="s">
        <v>5</v>
      </c>
      <c r="E786" s="367" t="s">
        <v>6</v>
      </c>
      <c r="F786" s="391" t="s">
        <v>1479</v>
      </c>
      <c r="G786" s="385">
        <v>45473</v>
      </c>
      <c r="H786" s="367" t="s">
        <v>9</v>
      </c>
      <c r="I786" s="368" t="str">
        <f>VLOOKUP(H786,'[2]Source Codes'!A$2:B$115,2,FALSE)</f>
        <v>On Line Journal Entries</v>
      </c>
      <c r="J786" s="412">
        <v>11457123</v>
      </c>
      <c r="K786" s="385">
        <v>45518</v>
      </c>
      <c r="L786" s="387" t="s">
        <v>1478</v>
      </c>
      <c r="M786" s="388">
        <v>45518.63380787037</v>
      </c>
      <c r="N786" s="368" t="s">
        <v>359</v>
      </c>
      <c r="O786" s="368" t="s">
        <v>370</v>
      </c>
    </row>
    <row r="787" spans="1:15" ht="15" hidden="1" outlineLevel="1">
      <c r="B787" s="384">
        <v>2024</v>
      </c>
      <c r="C787" s="384">
        <v>12</v>
      </c>
      <c r="D787" s="367" t="s">
        <v>5</v>
      </c>
      <c r="E787" s="367" t="s">
        <v>6</v>
      </c>
      <c r="F787" s="391" t="s">
        <v>1480</v>
      </c>
      <c r="G787" s="385">
        <v>45473</v>
      </c>
      <c r="H787" s="367" t="s">
        <v>16</v>
      </c>
      <c r="I787" s="368" t="str">
        <f>VLOOKUP(H787,'[2]Source Codes'!A$2:B$115,2,FALSE)</f>
        <v>Property Tax Interface</v>
      </c>
      <c r="J787" s="412">
        <v>6804337.21</v>
      </c>
      <c r="K787" s="385">
        <v>45518</v>
      </c>
      <c r="L787" s="387" t="s">
        <v>1481</v>
      </c>
      <c r="M787" s="388">
        <v>45518.686585648145</v>
      </c>
      <c r="N787" s="368" t="s">
        <v>359</v>
      </c>
      <c r="O787" s="368" t="s">
        <v>371</v>
      </c>
    </row>
    <row r="788" spans="1:15" ht="15" hidden="1" outlineLevel="1">
      <c r="B788" s="384">
        <v>2025</v>
      </c>
      <c r="C788" s="384">
        <v>2</v>
      </c>
      <c r="D788" s="367" t="s">
        <v>5</v>
      </c>
      <c r="E788" s="367" t="s">
        <v>6</v>
      </c>
      <c r="F788" s="391" t="s">
        <v>1482</v>
      </c>
      <c r="G788" s="385">
        <v>45511</v>
      </c>
      <c r="H788" s="367" t="s">
        <v>7</v>
      </c>
      <c r="I788" s="368" t="str">
        <f>VLOOKUP(H788,'[2]Source Codes'!A$2:B$115,2,FALSE)</f>
        <v>HRMS Interface Journals</v>
      </c>
      <c r="J788" s="412">
        <v>-2391477.46</v>
      </c>
      <c r="K788" s="385">
        <v>45518</v>
      </c>
      <c r="L788" s="387" t="s">
        <v>409</v>
      </c>
      <c r="M788" s="388">
        <v>45518.376863425925</v>
      </c>
      <c r="N788" s="368" t="s">
        <v>359</v>
      </c>
      <c r="O788" s="368" t="s">
        <v>371</v>
      </c>
    </row>
    <row r="789" spans="1:15" ht="15" hidden="1" outlineLevel="1">
      <c r="B789" s="384">
        <v>2025</v>
      </c>
      <c r="C789" s="384">
        <v>2</v>
      </c>
      <c r="D789" s="367" t="s">
        <v>5</v>
      </c>
      <c r="E789" s="367" t="s">
        <v>6</v>
      </c>
      <c r="F789" s="391" t="s">
        <v>1483</v>
      </c>
      <c r="G789" s="385">
        <v>45511</v>
      </c>
      <c r="H789" s="367" t="s">
        <v>7</v>
      </c>
      <c r="I789" s="368" t="str">
        <f>VLOOKUP(H789,'[2]Source Codes'!A$2:B$115,2,FALSE)</f>
        <v>HRMS Interface Journals</v>
      </c>
      <c r="J789" s="412">
        <v>-10514466.619999999</v>
      </c>
      <c r="K789" s="385">
        <v>45518</v>
      </c>
      <c r="L789" s="387" t="s">
        <v>407</v>
      </c>
      <c r="M789" s="388">
        <v>45518.374085648145</v>
      </c>
      <c r="N789" s="368" t="s">
        <v>359</v>
      </c>
      <c r="O789" s="368" t="s">
        <v>371</v>
      </c>
    </row>
    <row r="790" spans="1:15" ht="12.75" customHeight="1" collapsed="1">
      <c r="J790" s="413">
        <f>SUM(J784:J789)</f>
        <v>11187275.529999999</v>
      </c>
    </row>
    <row r="792" spans="1:15" ht="12.75" customHeight="1">
      <c r="A792" s="378" t="s">
        <v>1485</v>
      </c>
    </row>
    <row r="793" spans="1:15" ht="12.75" hidden="1" customHeight="1" outlineLevel="1">
      <c r="B793" s="384">
        <v>2025</v>
      </c>
      <c r="C793" s="384">
        <v>2</v>
      </c>
      <c r="D793" s="367" t="s">
        <v>5</v>
      </c>
      <c r="E793" s="367" t="s">
        <v>6</v>
      </c>
      <c r="F793" s="367" t="s">
        <v>1486</v>
      </c>
      <c r="G793" s="385">
        <v>45517</v>
      </c>
      <c r="H793" s="367" t="s">
        <v>12</v>
      </c>
      <c r="I793" s="368" t="str">
        <f>VLOOKUP(H793,'[2]Source Codes'!A$2:B$115,2,FALSE)</f>
        <v>AR Direct Cash Journal</v>
      </c>
      <c r="J793" s="412">
        <v>7842056</v>
      </c>
      <c r="K793" s="385">
        <v>45519</v>
      </c>
      <c r="L793" s="387" t="s">
        <v>1498</v>
      </c>
      <c r="M793" s="388">
        <v>45519.751863425925</v>
      </c>
      <c r="N793" s="368" t="s">
        <v>506</v>
      </c>
      <c r="O793" s="368" t="s">
        <v>358</v>
      </c>
    </row>
    <row r="794" spans="1:15" ht="12.75" hidden="1" customHeight="1" outlineLevel="1">
      <c r="B794" s="384">
        <v>2025</v>
      </c>
      <c r="C794" s="384">
        <v>2</v>
      </c>
      <c r="D794" s="367" t="s">
        <v>5</v>
      </c>
      <c r="E794" s="367" t="s">
        <v>6</v>
      </c>
      <c r="F794" s="367" t="s">
        <v>1487</v>
      </c>
      <c r="G794" s="385">
        <v>45512</v>
      </c>
      <c r="H794" s="367" t="s">
        <v>11</v>
      </c>
      <c r="I794" s="368" t="str">
        <f>VLOOKUP(H794,'[2]Source Codes'!A$2:B$115,2,FALSE)</f>
        <v>AR Payments</v>
      </c>
      <c r="J794" s="412">
        <v>8090358.0999999996</v>
      </c>
      <c r="K794" s="385">
        <v>45519</v>
      </c>
      <c r="L794" s="387" t="s">
        <v>398</v>
      </c>
      <c r="M794" s="388">
        <v>45519.751863425925</v>
      </c>
      <c r="N794" s="368" t="s">
        <v>359</v>
      </c>
      <c r="O794" s="368" t="s">
        <v>357</v>
      </c>
    </row>
    <row r="795" spans="1:15" ht="12.75" hidden="1" customHeight="1" outlineLevel="1">
      <c r="B795" s="384">
        <v>2024</v>
      </c>
      <c r="C795" s="384">
        <v>12</v>
      </c>
      <c r="D795" s="367" t="s">
        <v>5</v>
      </c>
      <c r="E795" s="367" t="s">
        <v>6</v>
      </c>
      <c r="F795" s="389" t="s">
        <v>1489</v>
      </c>
      <c r="G795" s="385">
        <v>45473</v>
      </c>
      <c r="H795" s="367" t="s">
        <v>9</v>
      </c>
      <c r="I795" s="368" t="str">
        <f>VLOOKUP(H795,'[2]Source Codes'!A$2:B$115,2,FALSE)</f>
        <v>On Line Journal Entries</v>
      </c>
      <c r="J795" s="412">
        <v>9915268.6799999997</v>
      </c>
      <c r="K795" s="385">
        <v>45519</v>
      </c>
      <c r="L795" s="387" t="s">
        <v>1488</v>
      </c>
      <c r="M795" s="388">
        <v>45519.86991898148</v>
      </c>
      <c r="N795" s="368" t="s">
        <v>359</v>
      </c>
      <c r="O795" s="368" t="s">
        <v>363</v>
      </c>
    </row>
    <row r="796" spans="1:15" ht="12.75" hidden="1" customHeight="1" outlineLevel="1">
      <c r="B796" s="384">
        <v>2024</v>
      </c>
      <c r="C796" s="384">
        <v>12</v>
      </c>
      <c r="D796" s="367" t="s">
        <v>5</v>
      </c>
      <c r="E796" s="367" t="s">
        <v>6</v>
      </c>
      <c r="F796" s="389" t="s">
        <v>1490</v>
      </c>
      <c r="G796" s="385">
        <v>45444</v>
      </c>
      <c r="H796" s="367" t="s">
        <v>9</v>
      </c>
      <c r="I796" s="368" t="str">
        <f>VLOOKUP(H796,'[2]Source Codes'!A$2:B$115,2,FALSE)</f>
        <v>On Line Journal Entries</v>
      </c>
      <c r="J796" s="412">
        <v>8571056.8800000008</v>
      </c>
      <c r="K796" s="385">
        <v>45519</v>
      </c>
      <c r="L796" s="387" t="s">
        <v>1493</v>
      </c>
      <c r="M796" s="388">
        <v>45519.86991898148</v>
      </c>
      <c r="N796" s="368" t="s">
        <v>359</v>
      </c>
      <c r="O796" s="368" t="s">
        <v>373</v>
      </c>
    </row>
    <row r="797" spans="1:15" ht="12.75" hidden="1" customHeight="1" outlineLevel="1">
      <c r="B797" s="384">
        <v>2024</v>
      </c>
      <c r="C797" s="384">
        <v>12</v>
      </c>
      <c r="D797" s="367" t="s">
        <v>5</v>
      </c>
      <c r="E797" s="367" t="s">
        <v>6</v>
      </c>
      <c r="F797" s="389" t="s">
        <v>1491</v>
      </c>
      <c r="G797" s="385">
        <v>45473</v>
      </c>
      <c r="H797" s="367" t="s">
        <v>9</v>
      </c>
      <c r="I797" s="368" t="str">
        <f>VLOOKUP(H797,'[2]Source Codes'!A$2:B$115,2,FALSE)</f>
        <v>On Line Journal Entries</v>
      </c>
      <c r="J797" s="412">
        <v>2591057</v>
      </c>
      <c r="K797" s="385">
        <v>45519</v>
      </c>
      <c r="L797" s="387" t="s">
        <v>1494</v>
      </c>
      <c r="M797" s="388">
        <v>45519.86991898148</v>
      </c>
      <c r="N797" s="368" t="s">
        <v>359</v>
      </c>
      <c r="O797" s="368" t="s">
        <v>363</v>
      </c>
    </row>
    <row r="798" spans="1:15" ht="12.75" hidden="1" customHeight="1" outlineLevel="1">
      <c r="B798" s="384">
        <v>2024</v>
      </c>
      <c r="C798" s="384">
        <v>12</v>
      </c>
      <c r="D798" s="367" t="s">
        <v>5</v>
      </c>
      <c r="E798" s="367" t="s">
        <v>6</v>
      </c>
      <c r="F798" s="389" t="s">
        <v>1492</v>
      </c>
      <c r="G798" s="385">
        <v>45473</v>
      </c>
      <c r="H798" s="367" t="s">
        <v>9</v>
      </c>
      <c r="I798" s="368" t="str">
        <f>VLOOKUP(H798,'[2]Source Codes'!A$2:B$115,2,FALSE)</f>
        <v>On Line Journal Entries</v>
      </c>
      <c r="J798" s="412">
        <v>1122270.8999999999</v>
      </c>
      <c r="K798" s="385">
        <v>45519</v>
      </c>
      <c r="L798" s="387" t="s">
        <v>1495</v>
      </c>
      <c r="M798" s="388">
        <v>45519.86991898148</v>
      </c>
      <c r="N798" s="368" t="s">
        <v>359</v>
      </c>
      <c r="O798" s="368" t="s">
        <v>357</v>
      </c>
    </row>
    <row r="799" spans="1:15" ht="12.75" hidden="1" customHeight="1" outlineLevel="1">
      <c r="B799" s="384">
        <v>2025</v>
      </c>
      <c r="C799" s="384">
        <v>2</v>
      </c>
      <c r="D799" s="367" t="s">
        <v>5</v>
      </c>
      <c r="E799" s="367" t="s">
        <v>6</v>
      </c>
      <c r="F799" s="389" t="s">
        <v>1496</v>
      </c>
      <c r="G799" s="385">
        <v>45511</v>
      </c>
      <c r="H799" s="367" t="s">
        <v>7</v>
      </c>
      <c r="I799" s="368" t="str">
        <f>VLOOKUP(H799,'[2]Source Codes'!A$2:B$115,2,FALSE)</f>
        <v>HRMS Interface Journals</v>
      </c>
      <c r="J799" s="412">
        <v>-67138332.040000007</v>
      </c>
      <c r="K799" s="385">
        <v>45519</v>
      </c>
      <c r="L799" s="387" t="s">
        <v>1497</v>
      </c>
      <c r="M799" s="388">
        <v>45519.314363425925</v>
      </c>
      <c r="N799" s="368" t="s">
        <v>359</v>
      </c>
      <c r="O799" s="368" t="s">
        <v>371</v>
      </c>
    </row>
    <row r="800" spans="1:15" ht="12.75" customHeight="1" collapsed="1">
      <c r="J800" s="413">
        <f>SUM(J793:J799)</f>
        <v>-29006264.480000004</v>
      </c>
    </row>
    <row r="802" spans="1:15" ht="12.75" customHeight="1">
      <c r="A802" s="378" t="s">
        <v>1499</v>
      </c>
    </row>
    <row r="803" spans="1:15" ht="12.75" hidden="1" customHeight="1" outlineLevel="1">
      <c r="B803" s="384">
        <v>2025</v>
      </c>
      <c r="C803" s="384">
        <v>2</v>
      </c>
      <c r="D803" s="367" t="s">
        <v>5</v>
      </c>
      <c r="E803" s="367" t="s">
        <v>6</v>
      </c>
      <c r="F803" s="367" t="s">
        <v>1500</v>
      </c>
      <c r="G803" s="385">
        <v>45510</v>
      </c>
      <c r="H803" s="367" t="s">
        <v>12</v>
      </c>
      <c r="I803" s="368" t="str">
        <f>VLOOKUP(H803,'[2]Source Codes'!A$2:B$115,2,FALSE)</f>
        <v>AR Direct Cash Journal</v>
      </c>
      <c r="J803" s="412">
        <v>1872463.76</v>
      </c>
      <c r="K803" s="385">
        <v>45520</v>
      </c>
      <c r="L803" s="387" t="s">
        <v>391</v>
      </c>
      <c r="M803" s="388">
        <v>45520.751863425925</v>
      </c>
      <c r="N803" s="368" t="s">
        <v>361</v>
      </c>
      <c r="O803" s="368" t="s">
        <v>362</v>
      </c>
    </row>
    <row r="804" spans="1:15" ht="45" hidden="1" outlineLevel="1">
      <c r="B804" s="384">
        <v>2025</v>
      </c>
      <c r="C804" s="384">
        <v>2</v>
      </c>
      <c r="D804" s="367" t="s">
        <v>5</v>
      </c>
      <c r="E804" s="367" t="s">
        <v>6</v>
      </c>
      <c r="F804" s="367" t="s">
        <v>1501</v>
      </c>
      <c r="G804" s="385">
        <v>45518</v>
      </c>
      <c r="H804" s="367" t="s">
        <v>11</v>
      </c>
      <c r="I804" s="368" t="str">
        <f>VLOOKUP(H804,'[2]Source Codes'!A$2:B$115,2,FALSE)</f>
        <v>AR Payments</v>
      </c>
      <c r="J804" s="412">
        <v>1548999.17</v>
      </c>
      <c r="K804" s="385">
        <v>45520</v>
      </c>
      <c r="L804" s="387" t="s">
        <v>1513</v>
      </c>
      <c r="M804" s="388">
        <v>45520.751863425925</v>
      </c>
      <c r="N804" s="368" t="s">
        <v>356</v>
      </c>
      <c r="O804" s="368" t="s">
        <v>357</v>
      </c>
    </row>
    <row r="805" spans="1:15" ht="30" hidden="1" outlineLevel="1">
      <c r="B805" s="384">
        <v>2025</v>
      </c>
      <c r="C805" s="384">
        <v>2</v>
      </c>
      <c r="D805" s="367" t="s">
        <v>5</v>
      </c>
      <c r="E805" s="367" t="s">
        <v>6</v>
      </c>
      <c r="F805" s="367" t="s">
        <v>1502</v>
      </c>
      <c r="G805" s="385">
        <v>45519</v>
      </c>
      <c r="H805" s="367" t="s">
        <v>11</v>
      </c>
      <c r="I805" s="368" t="str">
        <f>VLOOKUP(H805,'[2]Source Codes'!A$2:B$115,2,FALSE)</f>
        <v>AR Payments</v>
      </c>
      <c r="J805" s="412">
        <v>1806501.34</v>
      </c>
      <c r="K805" s="385">
        <v>45520</v>
      </c>
      <c r="L805" s="387" t="s">
        <v>1514</v>
      </c>
      <c r="M805" s="388">
        <v>45520.751863425925</v>
      </c>
      <c r="N805" s="368" t="s">
        <v>356</v>
      </c>
      <c r="O805" s="368" t="s">
        <v>357</v>
      </c>
    </row>
    <row r="806" spans="1:15" ht="30" hidden="1" outlineLevel="1">
      <c r="B806" s="384">
        <v>2024</v>
      </c>
      <c r="C806" s="384">
        <v>12</v>
      </c>
      <c r="D806" s="367" t="s">
        <v>5</v>
      </c>
      <c r="E806" s="367" t="s">
        <v>6</v>
      </c>
      <c r="F806" s="389" t="s">
        <v>1503</v>
      </c>
      <c r="G806" s="385">
        <v>45473</v>
      </c>
      <c r="H806" s="367" t="s">
        <v>9</v>
      </c>
      <c r="I806" s="368" t="str">
        <f>VLOOKUP(H806,'[2]Source Codes'!A$2:B$115,2,FALSE)</f>
        <v>On Line Journal Entries</v>
      </c>
      <c r="J806" s="412">
        <v>3518840.27</v>
      </c>
      <c r="K806" s="385">
        <v>45520</v>
      </c>
      <c r="L806" s="387" t="s">
        <v>1504</v>
      </c>
      <c r="M806" s="388">
        <v>45520.86922453704</v>
      </c>
      <c r="N806" s="368" t="s">
        <v>361</v>
      </c>
      <c r="O806" s="368" t="s">
        <v>368</v>
      </c>
    </row>
    <row r="807" spans="1:15" ht="15" hidden="1" outlineLevel="1">
      <c r="B807" s="384">
        <v>2024</v>
      </c>
      <c r="C807" s="384">
        <v>12</v>
      </c>
      <c r="D807" s="367" t="s">
        <v>5</v>
      </c>
      <c r="E807" s="367" t="s">
        <v>6</v>
      </c>
      <c r="F807" s="389" t="s">
        <v>1505</v>
      </c>
      <c r="G807" s="385">
        <v>45473</v>
      </c>
      <c r="H807" s="367" t="s">
        <v>9</v>
      </c>
      <c r="I807" s="368" t="str">
        <f>VLOOKUP(H807,'[2]Source Codes'!A$2:B$115,2,FALSE)</f>
        <v>On Line Journal Entries</v>
      </c>
      <c r="J807" s="412">
        <v>2242288.0099999998</v>
      </c>
      <c r="K807" s="385">
        <v>45520</v>
      </c>
      <c r="L807" s="387" t="s">
        <v>1506</v>
      </c>
      <c r="M807" s="388">
        <v>45520.608113425929</v>
      </c>
      <c r="N807" s="368" t="s">
        <v>506</v>
      </c>
      <c r="O807" s="368" t="s">
        <v>368</v>
      </c>
    </row>
    <row r="808" spans="1:15" ht="30" hidden="1" outlineLevel="1">
      <c r="B808" s="384">
        <v>2024</v>
      </c>
      <c r="C808" s="384">
        <v>12</v>
      </c>
      <c r="D808" s="367" t="s">
        <v>5</v>
      </c>
      <c r="E808" s="367" t="s">
        <v>6</v>
      </c>
      <c r="F808" s="389" t="s">
        <v>1507</v>
      </c>
      <c r="G808" s="385">
        <v>45473</v>
      </c>
      <c r="H808" s="367" t="s">
        <v>9</v>
      </c>
      <c r="I808" s="368" t="str">
        <f>VLOOKUP(H808,'[2]Source Codes'!A$2:B$115,2,FALSE)</f>
        <v>On Line Journal Entries</v>
      </c>
      <c r="J808" s="412">
        <v>1839927.73</v>
      </c>
      <c r="K808" s="385">
        <v>45520</v>
      </c>
      <c r="L808" s="387" t="s">
        <v>1508</v>
      </c>
      <c r="M808" s="388">
        <v>45520.849780092591</v>
      </c>
      <c r="N808" s="368" t="s">
        <v>506</v>
      </c>
      <c r="O808" s="368" t="s">
        <v>376</v>
      </c>
    </row>
    <row r="809" spans="1:15" ht="12.75" hidden="1" customHeight="1" outlineLevel="1">
      <c r="B809" s="384">
        <v>2025</v>
      </c>
      <c r="C809" s="384">
        <v>2</v>
      </c>
      <c r="D809" s="367" t="s">
        <v>5</v>
      </c>
      <c r="E809" s="367" t="s">
        <v>6</v>
      </c>
      <c r="F809" s="389" t="s">
        <v>1509</v>
      </c>
      <c r="G809" s="385">
        <v>45519</v>
      </c>
      <c r="H809" s="367" t="s">
        <v>351</v>
      </c>
      <c r="I809" s="368" t="str">
        <f>VLOOKUP(H809,'[2]Source Codes'!A$2:B$115,2,FALSE)</f>
        <v>Treasurer Tax Collector</v>
      </c>
      <c r="J809" s="412">
        <v>1568029.13</v>
      </c>
      <c r="K809" s="385">
        <v>45520</v>
      </c>
      <c r="L809" s="387" t="s">
        <v>1510</v>
      </c>
      <c r="M809" s="388">
        <v>45520.86922453704</v>
      </c>
      <c r="N809" s="368" t="s">
        <v>361</v>
      </c>
      <c r="O809" s="368" t="s">
        <v>380</v>
      </c>
    </row>
    <row r="810" spans="1:15" ht="30" hidden="1" outlineLevel="1">
      <c r="B810" s="384">
        <v>2024</v>
      </c>
      <c r="C810" s="384">
        <v>12</v>
      </c>
      <c r="D810" s="367" t="s">
        <v>5</v>
      </c>
      <c r="E810" s="367" t="s">
        <v>6</v>
      </c>
      <c r="F810" s="389" t="s">
        <v>1511</v>
      </c>
      <c r="G810" s="385">
        <v>45473</v>
      </c>
      <c r="H810" s="367" t="s">
        <v>9</v>
      </c>
      <c r="I810" s="368" t="str">
        <f>VLOOKUP(H810,'[2]Source Codes'!A$2:B$115,2,FALSE)</f>
        <v>On Line Journal Entries</v>
      </c>
      <c r="J810" s="412">
        <v>1156665.8700000001</v>
      </c>
      <c r="K810" s="385">
        <v>45520</v>
      </c>
      <c r="L810" s="387" t="s">
        <v>1512</v>
      </c>
      <c r="M810" s="388">
        <v>45520.845613425925</v>
      </c>
      <c r="N810" s="368" t="s">
        <v>506</v>
      </c>
      <c r="O810" s="368" t="s">
        <v>376</v>
      </c>
    </row>
    <row r="811" spans="1:15" ht="12.75" customHeight="1" collapsed="1">
      <c r="J811" s="413">
        <f>SUM(J803:J810)</f>
        <v>15553715.280000001</v>
      </c>
    </row>
    <row r="813" spans="1:15" ht="12.75" customHeight="1">
      <c r="A813" s="378" t="s">
        <v>1515</v>
      </c>
    </row>
    <row r="814" spans="1:15" ht="45" hidden="1" outlineLevel="1">
      <c r="B814" s="384">
        <v>2025</v>
      </c>
      <c r="C814" s="384">
        <v>2</v>
      </c>
      <c r="D814" s="367" t="s">
        <v>5</v>
      </c>
      <c r="E814" s="367" t="s">
        <v>6</v>
      </c>
      <c r="F814" s="367" t="s">
        <v>1516</v>
      </c>
      <c r="G814" s="385">
        <v>45525</v>
      </c>
      <c r="H814" s="367" t="s">
        <v>14</v>
      </c>
      <c r="I814" s="368" t="str">
        <f>VLOOKUP(H814,'[2]Source Codes'!A$2:B$115,2,FALSE)</f>
        <v>AP Warrant Issuance</v>
      </c>
      <c r="J814" s="412">
        <v>-1078104.57</v>
      </c>
      <c r="K814" s="385">
        <v>45523</v>
      </c>
      <c r="L814" s="387" t="s">
        <v>1527</v>
      </c>
      <c r="M814" s="388">
        <v>45523.793530092589</v>
      </c>
      <c r="N814" s="368" t="s">
        <v>356</v>
      </c>
      <c r="O814" s="368" t="s">
        <v>368</v>
      </c>
    </row>
    <row r="815" spans="1:15" ht="15" hidden="1" outlineLevel="1">
      <c r="B815" s="384">
        <v>2024</v>
      </c>
      <c r="C815" s="384">
        <v>12</v>
      </c>
      <c r="D815" s="367" t="s">
        <v>5</v>
      </c>
      <c r="E815" s="367" t="s">
        <v>6</v>
      </c>
      <c r="F815" s="389" t="s">
        <v>1517</v>
      </c>
      <c r="G815" s="385">
        <v>45473</v>
      </c>
      <c r="H815" s="367" t="s">
        <v>9</v>
      </c>
      <c r="I815" s="368" t="str">
        <f>VLOOKUP(H815,'[2]Source Codes'!A$2:B$115,2,FALSE)</f>
        <v>On Line Journal Entries</v>
      </c>
      <c r="J815" s="412">
        <v>16323620</v>
      </c>
      <c r="K815" s="385">
        <v>45523</v>
      </c>
      <c r="L815" s="387" t="s">
        <v>1520</v>
      </c>
      <c r="M815" s="388">
        <v>45523.388668981483</v>
      </c>
      <c r="N815" s="368" t="s">
        <v>361</v>
      </c>
      <c r="O815" s="368" t="s">
        <v>357</v>
      </c>
    </row>
    <row r="816" spans="1:15" ht="45" hidden="1" outlineLevel="1">
      <c r="B816" s="384">
        <v>2025</v>
      </c>
      <c r="C816" s="384">
        <v>2</v>
      </c>
      <c r="D816" s="367" t="s">
        <v>5</v>
      </c>
      <c r="E816" s="367" t="s">
        <v>6</v>
      </c>
      <c r="F816" s="389" t="s">
        <v>1518</v>
      </c>
      <c r="G816" s="385">
        <v>45523</v>
      </c>
      <c r="H816" s="367" t="s">
        <v>9</v>
      </c>
      <c r="I816" s="368" t="str">
        <f>VLOOKUP(H816,'[2]Source Codes'!A$2:B$115,2,FALSE)</f>
        <v>On Line Journal Entries</v>
      </c>
      <c r="J816" s="412">
        <v>14865152.93</v>
      </c>
      <c r="K816" s="385">
        <v>45523</v>
      </c>
      <c r="L816" s="387" t="s">
        <v>1519</v>
      </c>
      <c r="M816" s="388">
        <v>45523.86991898148</v>
      </c>
      <c r="N816" s="368" t="s">
        <v>356</v>
      </c>
      <c r="O816" s="368" t="s">
        <v>371</v>
      </c>
    </row>
    <row r="817" spans="1:15" ht="15" hidden="1" outlineLevel="1">
      <c r="B817" s="384">
        <v>2025</v>
      </c>
      <c r="C817" s="384">
        <v>2</v>
      </c>
      <c r="D817" s="367" t="s">
        <v>5</v>
      </c>
      <c r="E817" s="367" t="s">
        <v>6</v>
      </c>
      <c r="F817" s="389" t="s">
        <v>1522</v>
      </c>
      <c r="G817" s="385">
        <v>45516</v>
      </c>
      <c r="H817" s="367" t="s">
        <v>9</v>
      </c>
      <c r="I817" s="368" t="str">
        <f>VLOOKUP(H817,'[2]Source Codes'!A$2:B$115,2,FALSE)</f>
        <v>On Line Journal Entries</v>
      </c>
      <c r="J817" s="412">
        <v>4352469</v>
      </c>
      <c r="K817" s="385">
        <v>45521</v>
      </c>
      <c r="L817" s="387" t="s">
        <v>1523</v>
      </c>
      <c r="M817" s="388">
        <v>45521.259502314817</v>
      </c>
      <c r="N817" s="368" t="s">
        <v>356</v>
      </c>
      <c r="O817" s="368" t="s">
        <v>369</v>
      </c>
    </row>
    <row r="818" spans="1:15" ht="60" hidden="1" outlineLevel="1">
      <c r="B818" s="384">
        <v>2025</v>
      </c>
      <c r="C818" s="384">
        <v>2</v>
      </c>
      <c r="D818" s="367" t="s">
        <v>5</v>
      </c>
      <c r="E818" s="367" t="s">
        <v>6</v>
      </c>
      <c r="F818" s="389" t="s">
        <v>1521</v>
      </c>
      <c r="G818" s="385">
        <v>45523</v>
      </c>
      <c r="H818" s="367" t="s">
        <v>9</v>
      </c>
      <c r="I818" s="368" t="str">
        <f>VLOOKUP(H818,'[2]Source Codes'!A$2:B$115,2,FALSE)</f>
        <v>On Line Journal Entries</v>
      </c>
      <c r="J818" s="412">
        <v>3348859.09</v>
      </c>
      <c r="K818" s="385">
        <v>45523</v>
      </c>
      <c r="L818" s="387" t="s">
        <v>1524</v>
      </c>
      <c r="M818" s="388">
        <v>45523.86991898148</v>
      </c>
      <c r="N818" s="368" t="s">
        <v>356</v>
      </c>
      <c r="O818" s="368" t="s">
        <v>371</v>
      </c>
    </row>
    <row r="819" spans="1:15" ht="12.75" hidden="1" customHeight="1" outlineLevel="1">
      <c r="B819" s="384">
        <v>2024</v>
      </c>
      <c r="C819" s="384">
        <v>12</v>
      </c>
      <c r="D819" s="367" t="s">
        <v>5</v>
      </c>
      <c r="E819" s="367" t="s">
        <v>6</v>
      </c>
      <c r="F819" s="389" t="s">
        <v>1525</v>
      </c>
      <c r="G819" s="385">
        <v>45444</v>
      </c>
      <c r="H819" s="367" t="s">
        <v>9</v>
      </c>
      <c r="I819" s="368" t="str">
        <f>VLOOKUP(H819,'[2]Source Codes'!A$2:B$115,2,FALSE)</f>
        <v>On Line Journal Entries</v>
      </c>
      <c r="J819" s="412">
        <v>-2047041</v>
      </c>
      <c r="K819" s="385">
        <v>45523</v>
      </c>
      <c r="L819" s="387" t="s">
        <v>1526</v>
      </c>
      <c r="M819" s="388">
        <v>45523.60255787037</v>
      </c>
      <c r="N819" s="368" t="s">
        <v>387</v>
      </c>
      <c r="O819" s="368" t="s">
        <v>373</v>
      </c>
    </row>
    <row r="820" spans="1:15" ht="12.75" customHeight="1" collapsed="1">
      <c r="J820" s="413">
        <f>SUM(J814:J819)</f>
        <v>35764955.450000003</v>
      </c>
    </row>
    <row r="822" spans="1:15" ht="12.75" customHeight="1">
      <c r="A822" s="378" t="s">
        <v>1528</v>
      </c>
    </row>
    <row r="823" spans="1:15" ht="30" hidden="1" outlineLevel="1">
      <c r="B823" s="384">
        <v>2025</v>
      </c>
      <c r="C823" s="384">
        <v>2</v>
      </c>
      <c r="D823" s="367" t="s">
        <v>5</v>
      </c>
      <c r="E823" s="367" t="s">
        <v>6</v>
      </c>
      <c r="F823" s="367" t="s">
        <v>1529</v>
      </c>
      <c r="G823" s="385">
        <v>45523</v>
      </c>
      <c r="H823" s="367" t="s">
        <v>11</v>
      </c>
      <c r="I823" s="368" t="str">
        <f>VLOOKUP(H823,'[2]Source Codes'!A$2:B$115,2,FALSE)</f>
        <v>AR Payments</v>
      </c>
      <c r="J823" s="412">
        <v>1674414.31</v>
      </c>
      <c r="K823" s="385">
        <v>45524</v>
      </c>
      <c r="L823" s="387" t="s">
        <v>394</v>
      </c>
      <c r="M823" s="388">
        <v>45524.751817129632</v>
      </c>
      <c r="N823" s="368" t="s">
        <v>356</v>
      </c>
      <c r="O823" s="368" t="s">
        <v>357</v>
      </c>
    </row>
    <row r="824" spans="1:15" ht="30" hidden="1" outlineLevel="1">
      <c r="B824" s="384">
        <v>2024</v>
      </c>
      <c r="C824" s="384">
        <v>12</v>
      </c>
      <c r="D824" s="367" t="s">
        <v>5</v>
      </c>
      <c r="E824" s="367" t="s">
        <v>6</v>
      </c>
      <c r="F824" s="389" t="s">
        <v>1530</v>
      </c>
      <c r="G824" s="385">
        <v>45473</v>
      </c>
      <c r="H824" s="367" t="s">
        <v>9</v>
      </c>
      <c r="I824" s="368" t="str">
        <f>VLOOKUP(H824,'[2]Source Codes'!A$2:B$115,2,FALSE)</f>
        <v>On Line Journal Entries</v>
      </c>
      <c r="J824" s="412">
        <v>1014540.87</v>
      </c>
      <c r="K824" s="385">
        <v>45524</v>
      </c>
      <c r="L824" s="387" t="s">
        <v>1532</v>
      </c>
      <c r="M824" s="388">
        <v>45524.518171296295</v>
      </c>
      <c r="N824" s="368" t="s">
        <v>356</v>
      </c>
      <c r="O824" s="368" t="s">
        <v>376</v>
      </c>
    </row>
    <row r="825" spans="1:15" ht="15" hidden="1" outlineLevel="1">
      <c r="B825" s="384">
        <v>2024</v>
      </c>
      <c r="C825" s="384">
        <v>12</v>
      </c>
      <c r="D825" s="367" t="s">
        <v>5</v>
      </c>
      <c r="E825" s="367" t="s">
        <v>6</v>
      </c>
      <c r="F825" s="389" t="s">
        <v>1531</v>
      </c>
      <c r="G825" s="385">
        <v>45473</v>
      </c>
      <c r="H825" s="367" t="s">
        <v>9</v>
      </c>
      <c r="I825" s="368" t="str">
        <f>VLOOKUP(H825,'[2]Source Codes'!A$2:B$115,2,FALSE)</f>
        <v>On Line Journal Entries</v>
      </c>
      <c r="J825" s="412">
        <v>-2639214.11</v>
      </c>
      <c r="K825" s="385">
        <v>45524</v>
      </c>
      <c r="L825" s="387" t="s">
        <v>1533</v>
      </c>
      <c r="M825" s="388">
        <v>45524.60260416667</v>
      </c>
      <c r="N825" s="368" t="s">
        <v>1534</v>
      </c>
      <c r="O825" s="368" t="s">
        <v>504</v>
      </c>
    </row>
    <row r="826" spans="1:15" ht="12.75" customHeight="1" collapsed="1">
      <c r="J826" s="413">
        <f>SUM(J823:J825)</f>
        <v>49741.070000000298</v>
      </c>
    </row>
    <row r="828" spans="1:15" ht="12.75" customHeight="1">
      <c r="A828" s="378" t="s">
        <v>1535</v>
      </c>
    </row>
    <row r="829" spans="1:15" ht="45" hidden="1" outlineLevel="1">
      <c r="B829" s="384">
        <v>2024</v>
      </c>
      <c r="C829" s="384">
        <v>12</v>
      </c>
      <c r="D829" s="367" t="s">
        <v>5</v>
      </c>
      <c r="E829" s="367" t="s">
        <v>6</v>
      </c>
      <c r="F829" s="389" t="s">
        <v>1536</v>
      </c>
      <c r="G829" s="385">
        <v>45473</v>
      </c>
      <c r="H829" s="367" t="s">
        <v>9</v>
      </c>
      <c r="I829" s="368" t="str">
        <f>VLOOKUP(H829,'[2]Source Codes'!A$2:B$115,2,FALSE)</f>
        <v>On Line Journal Entries</v>
      </c>
      <c r="J829" s="412">
        <v>5838070.9400000004</v>
      </c>
      <c r="K829" s="385">
        <v>45525</v>
      </c>
      <c r="L829" s="387" t="s">
        <v>1537</v>
      </c>
      <c r="M829" s="388">
        <v>45525.804722222223</v>
      </c>
      <c r="N829" s="368" t="s">
        <v>387</v>
      </c>
      <c r="O829" s="368" t="s">
        <v>376</v>
      </c>
    </row>
    <row r="830" spans="1:15" ht="12.75" customHeight="1" collapsed="1">
      <c r="J830" s="413">
        <f>SUM(J829)</f>
        <v>5838070.9400000004</v>
      </c>
    </row>
    <row r="832" spans="1:15" ht="12.75" customHeight="1">
      <c r="A832" s="378" t="s">
        <v>1538</v>
      </c>
    </row>
    <row r="833" spans="1:15" ht="45" hidden="1" outlineLevel="1">
      <c r="B833" s="384">
        <v>2025</v>
      </c>
      <c r="C833" s="384">
        <v>2</v>
      </c>
      <c r="D833" s="367" t="s">
        <v>5</v>
      </c>
      <c r="E833" s="367" t="s">
        <v>6</v>
      </c>
      <c r="F833" s="389" t="s">
        <v>1539</v>
      </c>
      <c r="G833" s="385">
        <v>45530</v>
      </c>
      <c r="H833" s="367" t="s">
        <v>14</v>
      </c>
      <c r="I833" s="368" t="str">
        <f>VLOOKUP(H833,'[2]Source Codes'!A$2:B$115,2,FALSE)</f>
        <v>AP Warrant Issuance</v>
      </c>
      <c r="J833" s="412">
        <v>-5391483.5899999999</v>
      </c>
      <c r="K833" s="385">
        <v>45526</v>
      </c>
      <c r="L833" s="387" t="s">
        <v>1545</v>
      </c>
      <c r="M833" s="388">
        <v>45526.793819444443</v>
      </c>
      <c r="N833" s="368" t="s">
        <v>356</v>
      </c>
      <c r="O833" s="368" t="s">
        <v>364</v>
      </c>
    </row>
    <row r="834" spans="1:15" ht="15" hidden="1" outlineLevel="1">
      <c r="B834" s="384">
        <v>2024</v>
      </c>
      <c r="C834" s="384">
        <v>12</v>
      </c>
      <c r="D834" s="367" t="s">
        <v>5</v>
      </c>
      <c r="E834" s="367" t="s">
        <v>6</v>
      </c>
      <c r="F834" s="389" t="s">
        <v>1540</v>
      </c>
      <c r="G834" s="385">
        <v>45453</v>
      </c>
      <c r="H834" s="367" t="s">
        <v>9</v>
      </c>
      <c r="I834" s="368" t="str">
        <f>VLOOKUP(H834,'[2]Source Codes'!A$2:B$115,2,FALSE)</f>
        <v>On Line Journal Entries</v>
      </c>
      <c r="J834" s="412">
        <v>10197788</v>
      </c>
      <c r="K834" s="385">
        <v>45526</v>
      </c>
      <c r="L834" s="387" t="s">
        <v>1546</v>
      </c>
      <c r="M834" s="388">
        <v>45526.576342592591</v>
      </c>
      <c r="N834" s="368" t="s">
        <v>361</v>
      </c>
      <c r="O834" s="368" t="s">
        <v>368</v>
      </c>
    </row>
    <row r="835" spans="1:15" ht="45" hidden="1" outlineLevel="1">
      <c r="B835" s="384">
        <v>2024</v>
      </c>
      <c r="C835" s="384">
        <v>12</v>
      </c>
      <c r="D835" s="367" t="s">
        <v>5</v>
      </c>
      <c r="E835" s="367" t="s">
        <v>6</v>
      </c>
      <c r="F835" s="389" t="s">
        <v>1541</v>
      </c>
      <c r="G835" s="385">
        <v>45473</v>
      </c>
      <c r="H835" s="367" t="s">
        <v>9</v>
      </c>
      <c r="I835" s="368" t="str">
        <f>VLOOKUP(H835,'[2]Source Codes'!A$2:B$115,2,FALSE)</f>
        <v>On Line Journal Entries</v>
      </c>
      <c r="J835" s="412">
        <v>6865154.1200000001</v>
      </c>
      <c r="K835" s="385">
        <v>45526</v>
      </c>
      <c r="L835" s="387" t="s">
        <v>1542</v>
      </c>
      <c r="M835" s="388">
        <v>45526.589398148149</v>
      </c>
      <c r="N835" s="368" t="s">
        <v>356</v>
      </c>
      <c r="O835" s="368" t="s">
        <v>364</v>
      </c>
    </row>
    <row r="836" spans="1:15" ht="15" hidden="1" outlineLevel="1">
      <c r="B836" s="384">
        <v>2025</v>
      </c>
      <c r="C836" s="384">
        <v>2</v>
      </c>
      <c r="D836" s="367" t="s">
        <v>5</v>
      </c>
      <c r="E836" s="367" t="s">
        <v>6</v>
      </c>
      <c r="F836" s="389" t="s">
        <v>1543</v>
      </c>
      <c r="G836" s="385">
        <v>45525</v>
      </c>
      <c r="H836" s="367" t="s">
        <v>7</v>
      </c>
      <c r="I836" s="368" t="str">
        <f>VLOOKUP(H836,'[2]Source Codes'!A$2:B$115,2,FALSE)</f>
        <v>HRMS Interface Journals</v>
      </c>
      <c r="J836" s="412">
        <v>-2375896.83</v>
      </c>
      <c r="K836" s="385">
        <v>45526</v>
      </c>
      <c r="L836" s="387" t="s">
        <v>350</v>
      </c>
      <c r="M836" s="388">
        <v>45526.333356481482</v>
      </c>
      <c r="N836" s="368" t="s">
        <v>378</v>
      </c>
      <c r="O836" s="368" t="s">
        <v>379</v>
      </c>
    </row>
    <row r="837" spans="1:15" ht="15" hidden="1" outlineLevel="1">
      <c r="B837" s="384">
        <v>2025</v>
      </c>
      <c r="C837" s="384">
        <v>2</v>
      </c>
      <c r="D837" s="367" t="s">
        <v>5</v>
      </c>
      <c r="E837" s="367" t="s">
        <v>6</v>
      </c>
      <c r="F837" s="389" t="s">
        <v>1544</v>
      </c>
      <c r="G837" s="385">
        <v>45525</v>
      </c>
      <c r="H837" s="367" t="s">
        <v>7</v>
      </c>
      <c r="I837" s="368" t="str">
        <f>VLOOKUP(H837,'[2]Source Codes'!A$2:B$115,2,FALSE)</f>
        <v>HRMS Interface Journals</v>
      </c>
      <c r="J837" s="412">
        <v>-10497515.699999999</v>
      </c>
      <c r="K837" s="385">
        <v>45526</v>
      </c>
      <c r="L837" s="387" t="s">
        <v>349</v>
      </c>
      <c r="M837" s="388">
        <v>45526.332071759258</v>
      </c>
      <c r="N837" s="368" t="s">
        <v>378</v>
      </c>
      <c r="O837" s="368" t="s">
        <v>379</v>
      </c>
    </row>
    <row r="838" spans="1:15" ht="12.75" customHeight="1" collapsed="1">
      <c r="J838" s="413">
        <f>SUM(J833:J837)</f>
        <v>-1201953.9999999981</v>
      </c>
    </row>
    <row r="840" spans="1:15" ht="15">
      <c r="A840" s="378" t="s">
        <v>1547</v>
      </c>
    </row>
    <row r="841" spans="1:15" ht="30" hidden="1" outlineLevel="1">
      <c r="B841" s="384">
        <v>2024</v>
      </c>
      <c r="C841" s="384">
        <v>12</v>
      </c>
      <c r="D841" s="367" t="s">
        <v>5</v>
      </c>
      <c r="E841" s="367" t="s">
        <v>6</v>
      </c>
      <c r="F841" s="389" t="s">
        <v>1548</v>
      </c>
      <c r="G841" s="385">
        <v>45473</v>
      </c>
      <c r="H841" s="367" t="s">
        <v>9</v>
      </c>
      <c r="I841" s="368" t="str">
        <f>VLOOKUP(H841,'[2]Source Codes'!A$2:B$115,2,FALSE)</f>
        <v>On Line Journal Entries</v>
      </c>
      <c r="J841" s="412">
        <v>10995012.960000001</v>
      </c>
      <c r="K841" s="385">
        <v>45527</v>
      </c>
      <c r="L841" s="387" t="s">
        <v>1549</v>
      </c>
      <c r="M841" s="388">
        <v>45527.473564814813</v>
      </c>
      <c r="N841" s="368" t="s">
        <v>377</v>
      </c>
      <c r="O841" s="368" t="s">
        <v>376</v>
      </c>
    </row>
    <row r="842" spans="1:15" ht="15" hidden="1" outlineLevel="1">
      <c r="B842" s="384">
        <v>2024</v>
      </c>
      <c r="C842" s="384">
        <v>12</v>
      </c>
      <c r="D842" s="367" t="s">
        <v>5</v>
      </c>
      <c r="E842" s="367" t="s">
        <v>6</v>
      </c>
      <c r="F842" s="389" t="s">
        <v>1550</v>
      </c>
      <c r="G842" s="385">
        <v>45473</v>
      </c>
      <c r="H842" s="367" t="s">
        <v>9</v>
      </c>
      <c r="I842" s="368" t="str">
        <f>VLOOKUP(H842,'[2]Source Codes'!A$2:B$115,2,FALSE)</f>
        <v>On Line Journal Entries</v>
      </c>
      <c r="J842" s="412">
        <v>8060997.5300000003</v>
      </c>
      <c r="K842" s="385">
        <v>45527</v>
      </c>
      <c r="L842" s="387" t="s">
        <v>1551</v>
      </c>
      <c r="M842" s="388">
        <v>45527.481064814812</v>
      </c>
      <c r="N842" s="368" t="s">
        <v>387</v>
      </c>
      <c r="O842" s="368" t="s">
        <v>371</v>
      </c>
    </row>
    <row r="843" spans="1:15" ht="30" hidden="1" outlineLevel="1">
      <c r="B843" s="384">
        <v>2024</v>
      </c>
      <c r="C843" s="384">
        <v>12</v>
      </c>
      <c r="D843" s="367" t="s">
        <v>5</v>
      </c>
      <c r="E843" s="367" t="s">
        <v>6</v>
      </c>
      <c r="F843" s="389" t="s">
        <v>1552</v>
      </c>
      <c r="G843" s="385">
        <v>45473</v>
      </c>
      <c r="H843" s="367" t="s">
        <v>9</v>
      </c>
      <c r="I843" s="368" t="str">
        <f>VLOOKUP(H843,'[2]Source Codes'!A$2:B$115,2,FALSE)</f>
        <v>On Line Journal Entries</v>
      </c>
      <c r="J843" s="412">
        <v>1357465.15</v>
      </c>
      <c r="K843" s="385">
        <v>45527</v>
      </c>
      <c r="L843" s="387" t="s">
        <v>1553</v>
      </c>
      <c r="M843" s="388">
        <v>45527.493310185186</v>
      </c>
      <c r="N843" s="368" t="s">
        <v>356</v>
      </c>
      <c r="O843" s="368" t="s">
        <v>376</v>
      </c>
    </row>
    <row r="844" spans="1:15" ht="15" hidden="1" outlineLevel="1">
      <c r="B844" s="384">
        <v>2025</v>
      </c>
      <c r="C844" s="384">
        <v>2</v>
      </c>
      <c r="D844" s="367" t="s">
        <v>5</v>
      </c>
      <c r="E844" s="367" t="s">
        <v>6</v>
      </c>
      <c r="F844" s="389" t="s">
        <v>1554</v>
      </c>
      <c r="G844" s="385">
        <v>45526</v>
      </c>
      <c r="H844" s="367" t="s">
        <v>9</v>
      </c>
      <c r="I844" s="368" t="str">
        <f>VLOOKUP(H844,'[2]Source Codes'!A$2:B$115,2,FALSE)</f>
        <v>On Line Journal Entries</v>
      </c>
      <c r="J844" s="412">
        <v>-8060997.5300000003</v>
      </c>
      <c r="K844" s="385">
        <v>45527</v>
      </c>
      <c r="L844" s="387" t="s">
        <v>1551</v>
      </c>
      <c r="M844" s="388">
        <v>45527.869525462964</v>
      </c>
      <c r="N844" s="368" t="s">
        <v>387</v>
      </c>
      <c r="O844" s="368" t="s">
        <v>371</v>
      </c>
    </row>
    <row r="845" spans="1:15" ht="12.75" customHeight="1" collapsed="1">
      <c r="J845" s="413">
        <f>SUM(J841:J844)</f>
        <v>12352478.109999999</v>
      </c>
    </row>
    <row r="847" spans="1:15" ht="12.75" customHeight="1">
      <c r="A847" s="378" t="s">
        <v>1555</v>
      </c>
    </row>
    <row r="848" spans="1:15" ht="12.75" hidden="1" customHeight="1" outlineLevel="1">
      <c r="B848" s="384">
        <v>2025</v>
      </c>
      <c r="C848" s="384">
        <v>2</v>
      </c>
      <c r="D848" s="367" t="s">
        <v>5</v>
      </c>
      <c r="E848" s="367" t="s">
        <v>6</v>
      </c>
      <c r="F848" s="389" t="s">
        <v>1556</v>
      </c>
      <c r="G848" s="385">
        <v>45525</v>
      </c>
      <c r="H848" s="367" t="s">
        <v>7</v>
      </c>
      <c r="I848" s="368" t="str">
        <f>VLOOKUP(H848,'[2]Source Codes'!A$2:B$115,2,FALSE)</f>
        <v>HRMS Interface Journals</v>
      </c>
      <c r="J848" s="412">
        <v>-67262057.159999996</v>
      </c>
      <c r="K848" s="385">
        <v>45530</v>
      </c>
      <c r="L848" s="387" t="s">
        <v>1497</v>
      </c>
      <c r="M848" s="388">
        <v>45530.420775462961</v>
      </c>
      <c r="N848" s="368" t="s">
        <v>378</v>
      </c>
      <c r="O848" s="368" t="s">
        <v>371</v>
      </c>
    </row>
    <row r="849" spans="1:15" ht="12.75" customHeight="1" collapsed="1">
      <c r="J849" s="413">
        <v>-67262057.159999996</v>
      </c>
    </row>
    <row r="851" spans="1:15" ht="12.75" customHeight="1">
      <c r="A851" s="378" t="s">
        <v>1557</v>
      </c>
    </row>
    <row r="852" spans="1:15" ht="12.75" hidden="1" customHeight="1" outlineLevel="1">
      <c r="B852" s="384">
        <v>2025</v>
      </c>
      <c r="C852" s="384">
        <v>2</v>
      </c>
      <c r="D852" s="367" t="s">
        <v>5</v>
      </c>
      <c r="E852" s="367" t="s">
        <v>6</v>
      </c>
      <c r="F852" s="389" t="s">
        <v>1558</v>
      </c>
      <c r="G852" s="385">
        <v>45523</v>
      </c>
      <c r="H852" s="367" t="s">
        <v>8</v>
      </c>
      <c r="I852" s="368" t="str">
        <f>VLOOKUP(H852,'[2]Source Codes'!A$2:B$115,2,FALSE)</f>
        <v>Prch,Cntrl Mail,Flt,Prntg,Sply</v>
      </c>
      <c r="J852" s="412">
        <v>-2185939.21</v>
      </c>
      <c r="K852" s="385">
        <v>45531</v>
      </c>
      <c r="L852" s="387" t="s">
        <v>1559</v>
      </c>
      <c r="M852" s="388">
        <v>45531.705613425926</v>
      </c>
      <c r="N852" s="368" t="s">
        <v>356</v>
      </c>
      <c r="O852" s="368" t="s">
        <v>382</v>
      </c>
    </row>
    <row r="853" spans="1:15" ht="12.75" customHeight="1" collapsed="1">
      <c r="J853" s="413">
        <f>SUM(J852)</f>
        <v>-2185939.21</v>
      </c>
    </row>
    <row r="855" spans="1:15" ht="12.75" customHeight="1">
      <c r="A855" s="378" t="s">
        <v>1560</v>
      </c>
    </row>
    <row r="856" spans="1:15" ht="45" hidden="1" outlineLevel="1">
      <c r="B856" s="384">
        <v>2025</v>
      </c>
      <c r="C856" s="384">
        <v>2</v>
      </c>
      <c r="D856" s="367" t="s">
        <v>5</v>
      </c>
      <c r="E856" s="367" t="s">
        <v>6</v>
      </c>
      <c r="F856" s="367" t="s">
        <v>1561</v>
      </c>
      <c r="G856" s="385">
        <v>45532</v>
      </c>
      <c r="H856" s="367" t="s">
        <v>12</v>
      </c>
      <c r="I856" s="368" t="str">
        <f>VLOOKUP(H856,'[2]Source Codes'!A$2:B$115,2,FALSE)</f>
        <v>AR Direct Cash Journal</v>
      </c>
      <c r="J856" s="412">
        <v>10093818.789999999</v>
      </c>
      <c r="K856" s="385">
        <v>45532</v>
      </c>
      <c r="L856" s="387" t="s">
        <v>1567</v>
      </c>
      <c r="M856" s="388">
        <v>45532.751979166664</v>
      </c>
      <c r="N856" s="368" t="s">
        <v>359</v>
      </c>
      <c r="O856" s="368" t="s">
        <v>371</v>
      </c>
    </row>
    <row r="857" spans="1:15" ht="45" hidden="1" outlineLevel="1">
      <c r="B857" s="384">
        <v>2025</v>
      </c>
      <c r="C857" s="384">
        <v>2</v>
      </c>
      <c r="D857" s="367" t="s">
        <v>5</v>
      </c>
      <c r="E857" s="367" t="s">
        <v>6</v>
      </c>
      <c r="F857" s="367" t="s">
        <v>1562</v>
      </c>
      <c r="G857" s="385">
        <v>45524</v>
      </c>
      <c r="H857" s="367" t="s">
        <v>12</v>
      </c>
      <c r="I857" s="368" t="str">
        <f>VLOOKUP(H857,'[2]Source Codes'!A$2:B$115,2,FALSE)</f>
        <v>AR Direct Cash Journal</v>
      </c>
      <c r="J857" s="412">
        <v>37106829.32</v>
      </c>
      <c r="K857" s="385">
        <v>45532</v>
      </c>
      <c r="L857" s="387" t="s">
        <v>1564</v>
      </c>
      <c r="M857" s="388">
        <v>45532.751979166664</v>
      </c>
      <c r="N857" s="368" t="s">
        <v>1566</v>
      </c>
      <c r="O857" s="368" t="s">
        <v>368</v>
      </c>
    </row>
    <row r="858" spans="1:15" ht="45" hidden="1" outlineLevel="1">
      <c r="B858" s="384">
        <v>2025</v>
      </c>
      <c r="C858" s="384">
        <v>2</v>
      </c>
      <c r="D858" s="367" t="s">
        <v>5</v>
      </c>
      <c r="E858" s="367" t="s">
        <v>6</v>
      </c>
      <c r="F858" s="367" t="s">
        <v>1563</v>
      </c>
      <c r="G858" s="385">
        <v>45532</v>
      </c>
      <c r="H858" s="367" t="s">
        <v>11</v>
      </c>
      <c r="I858" s="368" t="str">
        <f>VLOOKUP(H858,'[2]Source Codes'!A$2:B$115,2,FALSE)</f>
        <v>AR Payments</v>
      </c>
      <c r="J858" s="412">
        <v>1227577</v>
      </c>
      <c r="K858" s="385">
        <v>45532</v>
      </c>
      <c r="L858" s="387" t="s">
        <v>932</v>
      </c>
      <c r="M858" s="388">
        <v>45532.751979166664</v>
      </c>
      <c r="N858" s="368" t="s">
        <v>1565</v>
      </c>
      <c r="O858" s="368" t="s">
        <v>386</v>
      </c>
    </row>
    <row r="859" spans="1:15" ht="12.75" customHeight="1" collapsed="1">
      <c r="J859" s="413">
        <f>SUM(J856:J858)</f>
        <v>48428225.109999999</v>
      </c>
    </row>
    <row r="861" spans="1:15" ht="12.75" customHeight="1">
      <c r="A861" s="378" t="s">
        <v>1588</v>
      </c>
    </row>
    <row r="862" spans="1:15" ht="30" hidden="1" outlineLevel="2">
      <c r="B862" s="384">
        <v>2025</v>
      </c>
      <c r="C862" s="384">
        <v>2</v>
      </c>
      <c r="D862" s="367" t="s">
        <v>5</v>
      </c>
      <c r="E862" s="367" t="s">
        <v>6</v>
      </c>
      <c r="F862" s="389" t="s">
        <v>1568</v>
      </c>
      <c r="G862" s="385">
        <v>45505</v>
      </c>
      <c r="H862" s="367" t="s">
        <v>9</v>
      </c>
      <c r="I862" s="368" t="str">
        <f>VLOOKUP(H862,'[2]Source Codes'!A$2:B$115,2,FALSE)</f>
        <v>On Line Journal Entries</v>
      </c>
      <c r="J862" s="412">
        <v>23660515</v>
      </c>
      <c r="K862" s="385">
        <v>45533</v>
      </c>
      <c r="L862" s="387" t="s">
        <v>10</v>
      </c>
      <c r="M862" s="392">
        <v>45533.567164351851</v>
      </c>
      <c r="N862" s="368" t="s">
        <v>356</v>
      </c>
      <c r="O862" s="368" t="s">
        <v>364</v>
      </c>
    </row>
    <row r="863" spans="1:15" ht="30" hidden="1" outlineLevel="2">
      <c r="B863" s="384">
        <v>2024</v>
      </c>
      <c r="C863" s="384">
        <v>12</v>
      </c>
      <c r="D863" s="367" t="s">
        <v>5</v>
      </c>
      <c r="E863" s="367" t="s">
        <v>6</v>
      </c>
      <c r="F863" s="389" t="s">
        <v>1569</v>
      </c>
      <c r="G863" s="385">
        <v>45519</v>
      </c>
      <c r="H863" s="367" t="s">
        <v>9</v>
      </c>
      <c r="I863" s="368" t="str">
        <f>VLOOKUP(H863,'[2]Source Codes'!A$2:B$115,2,FALSE)</f>
        <v>On Line Journal Entries</v>
      </c>
      <c r="J863" s="412">
        <v>11950251.35</v>
      </c>
      <c r="K863" s="385">
        <v>45533</v>
      </c>
      <c r="L863" s="387" t="s">
        <v>344</v>
      </c>
      <c r="M863" s="392">
        <v>45533.56658564815</v>
      </c>
      <c r="N863" s="368" t="s">
        <v>356</v>
      </c>
      <c r="O863" s="368" t="s">
        <v>364</v>
      </c>
    </row>
    <row r="864" spans="1:15" ht="30" hidden="1" outlineLevel="2">
      <c r="B864" s="384">
        <v>2024</v>
      </c>
      <c r="C864" s="384">
        <v>12</v>
      </c>
      <c r="D864" s="367" t="s">
        <v>5</v>
      </c>
      <c r="E864" s="367" t="s">
        <v>6</v>
      </c>
      <c r="F864" s="389" t="s">
        <v>1584</v>
      </c>
      <c r="G864" s="385">
        <v>45518</v>
      </c>
      <c r="H864" s="367" t="s">
        <v>9</v>
      </c>
      <c r="I864" s="368" t="str">
        <f>VLOOKUP(H864,'[2]Source Codes'!A$2:B$115,2,FALSE)</f>
        <v>On Line Journal Entries</v>
      </c>
      <c r="J864" s="412">
        <v>8383070</v>
      </c>
      <c r="K864" s="385">
        <v>45533</v>
      </c>
      <c r="L864" s="387" t="s">
        <v>344</v>
      </c>
      <c r="M864" s="392">
        <v>45533.565810185188</v>
      </c>
      <c r="N864" s="368" t="s">
        <v>356</v>
      </c>
      <c r="O864" s="368" t="s">
        <v>364</v>
      </c>
    </row>
    <row r="865" spans="1:15" ht="30" hidden="1" outlineLevel="2">
      <c r="B865" s="384">
        <v>2024</v>
      </c>
      <c r="C865" s="384">
        <v>12</v>
      </c>
      <c r="D865" s="367" t="s">
        <v>5</v>
      </c>
      <c r="E865" s="367" t="s">
        <v>6</v>
      </c>
      <c r="F865" s="389" t="s">
        <v>1585</v>
      </c>
      <c r="G865" s="385">
        <v>45536</v>
      </c>
      <c r="H865" s="367" t="s">
        <v>9</v>
      </c>
      <c r="I865" s="368" t="str">
        <f>VLOOKUP(H865,'[2]Source Codes'!A$2:B$115,2,FALSE)</f>
        <v>On Line Journal Entries</v>
      </c>
      <c r="J865" s="412">
        <v>7933732</v>
      </c>
      <c r="K865" s="385">
        <v>45533</v>
      </c>
      <c r="L865" s="387" t="s">
        <v>1570</v>
      </c>
      <c r="M865" s="392">
        <v>45533.657523148147</v>
      </c>
      <c r="N865" s="368" t="s">
        <v>1583</v>
      </c>
      <c r="O865" s="368" t="s">
        <v>376</v>
      </c>
    </row>
    <row r="866" spans="1:15" ht="30" hidden="1" outlineLevel="2">
      <c r="B866" s="384">
        <v>2024</v>
      </c>
      <c r="C866" s="384">
        <v>12</v>
      </c>
      <c r="D866" s="367" t="s">
        <v>5</v>
      </c>
      <c r="E866" s="367" t="s">
        <v>6</v>
      </c>
      <c r="F866" s="389" t="s">
        <v>1586</v>
      </c>
      <c r="G866" s="385">
        <v>45518</v>
      </c>
      <c r="H866" s="367" t="s">
        <v>9</v>
      </c>
      <c r="I866" s="368" t="str">
        <f>VLOOKUP(H866,'[2]Source Codes'!A$2:B$115,2,FALSE)</f>
        <v>On Line Journal Entries</v>
      </c>
      <c r="J866" s="412">
        <v>1848318</v>
      </c>
      <c r="K866" s="385">
        <v>45533</v>
      </c>
      <c r="L866" s="387" t="s">
        <v>344</v>
      </c>
      <c r="M866" s="392">
        <v>45533.56486111111</v>
      </c>
      <c r="N866" s="368" t="s">
        <v>356</v>
      </c>
      <c r="O866" s="368" t="s">
        <v>364</v>
      </c>
    </row>
    <row r="867" spans="1:15" ht="15" hidden="1" outlineLevel="2">
      <c r="B867" s="384">
        <v>2025</v>
      </c>
      <c r="C867" s="384">
        <v>2</v>
      </c>
      <c r="D867" s="367" t="s">
        <v>5</v>
      </c>
      <c r="E867" s="367" t="s">
        <v>6</v>
      </c>
      <c r="F867" s="389" t="s">
        <v>1571</v>
      </c>
      <c r="G867" s="385">
        <v>45517</v>
      </c>
      <c r="H867" s="367" t="s">
        <v>337</v>
      </c>
      <c r="I867" s="368" t="str">
        <f>VLOOKUP(H867,'[2]Source Codes'!A$2:B$115,2,FALSE)</f>
        <v>Facilities Mngmnt Intfc Jrnls</v>
      </c>
      <c r="J867" s="412">
        <v>-2249942.7599999998</v>
      </c>
      <c r="K867" s="385">
        <v>45533</v>
      </c>
      <c r="L867" s="387" t="s">
        <v>1572</v>
      </c>
      <c r="M867" s="392">
        <v>45533.662662037037</v>
      </c>
      <c r="N867" s="368" t="s">
        <v>356</v>
      </c>
      <c r="O867" s="368" t="s">
        <v>367</v>
      </c>
    </row>
    <row r="868" spans="1:15" ht="15" hidden="1" outlineLevel="2">
      <c r="B868" s="384">
        <v>2025</v>
      </c>
      <c r="C868" s="384">
        <v>2</v>
      </c>
      <c r="D868" s="367" t="s">
        <v>5</v>
      </c>
      <c r="E868" s="367" t="s">
        <v>6</v>
      </c>
      <c r="F868" s="389" t="s">
        <v>1573</v>
      </c>
      <c r="G868" s="385">
        <v>45517</v>
      </c>
      <c r="H868" s="367" t="s">
        <v>337</v>
      </c>
      <c r="I868" s="368" t="str">
        <f>VLOOKUP(H868,'[2]Source Codes'!A$2:B$115,2,FALSE)</f>
        <v>Facilities Mngmnt Intfc Jrnls</v>
      </c>
      <c r="J868" s="412">
        <v>-2249941.7599999998</v>
      </c>
      <c r="K868" s="385">
        <v>45533</v>
      </c>
      <c r="L868" s="387" t="s">
        <v>1575</v>
      </c>
      <c r="M868" s="392">
        <v>45533.577372685184</v>
      </c>
      <c r="N868" s="368" t="s">
        <v>356</v>
      </c>
      <c r="O868" s="368" t="s">
        <v>367</v>
      </c>
    </row>
    <row r="869" spans="1:15" ht="15" hidden="1" outlineLevel="2">
      <c r="B869" s="384">
        <v>2025</v>
      </c>
      <c r="C869" s="384">
        <v>2</v>
      </c>
      <c r="D869" s="367" t="s">
        <v>5</v>
      </c>
      <c r="E869" s="367" t="s">
        <v>6</v>
      </c>
      <c r="F869" s="389" t="s">
        <v>1574</v>
      </c>
      <c r="G869" s="385">
        <v>45525</v>
      </c>
      <c r="H869" s="367" t="s">
        <v>337</v>
      </c>
      <c r="I869" s="368" t="str">
        <f>VLOOKUP(H869,'[2]Source Codes'!A$2:B$115,2,FALSE)</f>
        <v>Facilities Mngmnt Intfc Jrnls</v>
      </c>
      <c r="J869" s="412">
        <v>-4126755.44</v>
      </c>
      <c r="K869" s="385">
        <v>45533</v>
      </c>
      <c r="L869" s="387" t="s">
        <v>1576</v>
      </c>
      <c r="M869" s="392">
        <v>45533.578738425924</v>
      </c>
      <c r="N869" s="368" t="s">
        <v>356</v>
      </c>
      <c r="O869" s="368" t="s">
        <v>367</v>
      </c>
    </row>
    <row r="870" spans="1:15" ht="15" hidden="1" outlineLevel="2">
      <c r="B870" s="384">
        <v>2025</v>
      </c>
      <c r="C870" s="384">
        <v>2</v>
      </c>
      <c r="D870" s="367" t="s">
        <v>5</v>
      </c>
      <c r="E870" s="367" t="s">
        <v>6</v>
      </c>
      <c r="F870" s="389" t="s">
        <v>1580</v>
      </c>
      <c r="G870" s="385">
        <v>45505</v>
      </c>
      <c r="H870" s="367" t="s">
        <v>9</v>
      </c>
      <c r="I870" s="368" t="str">
        <f>VLOOKUP(H870,'[2]Source Codes'!A$2:B$115,2,FALSE)</f>
        <v>On Line Journal Entries</v>
      </c>
      <c r="J870" s="412">
        <v>-5190118.1100000003</v>
      </c>
      <c r="K870" s="385">
        <v>45533</v>
      </c>
      <c r="L870" s="387" t="s">
        <v>1577</v>
      </c>
      <c r="M870" s="392">
        <v>45533.672384259262</v>
      </c>
      <c r="N870" s="368" t="s">
        <v>361</v>
      </c>
      <c r="O870" s="368" t="s">
        <v>373</v>
      </c>
    </row>
    <row r="871" spans="1:15" ht="15" hidden="1" outlineLevel="2">
      <c r="B871" s="384">
        <v>2025</v>
      </c>
      <c r="C871" s="384">
        <v>2</v>
      </c>
      <c r="D871" s="367" t="s">
        <v>5</v>
      </c>
      <c r="E871" s="367" t="s">
        <v>6</v>
      </c>
      <c r="F871" s="389" t="s">
        <v>1581</v>
      </c>
      <c r="G871" s="385">
        <v>45505</v>
      </c>
      <c r="H871" s="367" t="s">
        <v>13</v>
      </c>
      <c r="I871" s="368" t="str">
        <f>VLOOKUP(H871,'[2]Source Codes'!A$2:B$115,2,FALSE)</f>
        <v>C-IV Voucher/Payments/EBT</v>
      </c>
      <c r="J871" s="412">
        <v>-16954321.850000001</v>
      </c>
      <c r="K871" s="385">
        <v>45533</v>
      </c>
      <c r="L871" s="387" t="s">
        <v>1578</v>
      </c>
      <c r="M871" s="392">
        <v>45533.564016203702</v>
      </c>
      <c r="N871" s="368" t="s">
        <v>356</v>
      </c>
      <c r="O871" s="368" t="s">
        <v>364</v>
      </c>
    </row>
    <row r="872" spans="1:15" ht="15" hidden="1" outlineLevel="2">
      <c r="B872" s="384">
        <v>2025</v>
      </c>
      <c r="C872" s="384">
        <v>2</v>
      </c>
      <c r="D872" s="367" t="s">
        <v>5</v>
      </c>
      <c r="E872" s="367" t="s">
        <v>6</v>
      </c>
      <c r="F872" s="389" t="s">
        <v>1582</v>
      </c>
      <c r="G872" s="385">
        <v>45505</v>
      </c>
      <c r="H872" s="367" t="s">
        <v>9</v>
      </c>
      <c r="I872" s="368" t="str">
        <f>VLOOKUP(H872,'[2]Source Codes'!A$2:B$115,2,FALSE)</f>
        <v>On Line Journal Entries</v>
      </c>
      <c r="J872" s="412">
        <v>-18107046.059999999</v>
      </c>
      <c r="K872" s="385">
        <v>45533</v>
      </c>
      <c r="L872" s="387" t="s">
        <v>1579</v>
      </c>
      <c r="M872" s="392">
        <v>45533.745011574072</v>
      </c>
      <c r="N872" s="368" t="s">
        <v>361</v>
      </c>
      <c r="O872" s="368" t="s">
        <v>373</v>
      </c>
    </row>
    <row r="873" spans="1:15" ht="12.75" customHeight="1" collapsed="1">
      <c r="J873" s="413">
        <f>SUM(J862:J872)</f>
        <v>4897760.3700000085</v>
      </c>
    </row>
    <row r="875" spans="1:15" ht="12.75" customHeight="1">
      <c r="A875" s="378" t="s">
        <v>1587</v>
      </c>
    </row>
    <row r="876" spans="1:15" ht="12.75" hidden="1" customHeight="1" outlineLevel="1">
      <c r="B876" s="384">
        <v>2024</v>
      </c>
      <c r="C876" s="384">
        <v>12</v>
      </c>
      <c r="D876" s="367" t="s">
        <v>5</v>
      </c>
      <c r="E876" s="367" t="s">
        <v>6</v>
      </c>
      <c r="F876" s="367" t="s">
        <v>1589</v>
      </c>
      <c r="G876" s="385">
        <v>45471</v>
      </c>
      <c r="H876" s="367" t="s">
        <v>14</v>
      </c>
      <c r="I876" s="368" t="str">
        <f>VLOOKUP(H876,'[2]Source Codes'!A$2:B$115,2,FALSE)</f>
        <v>AP Warrant Issuance</v>
      </c>
      <c r="J876" s="412">
        <v>-2195685.4500000002</v>
      </c>
      <c r="K876" s="385">
        <v>45533</v>
      </c>
      <c r="L876" s="387" t="s">
        <v>1594</v>
      </c>
      <c r="M876" s="388">
        <v>45533.377662037034</v>
      </c>
      <c r="N876" s="368" t="s">
        <v>359</v>
      </c>
      <c r="O876" s="368" t="s">
        <v>376</v>
      </c>
    </row>
    <row r="877" spans="1:15" ht="12.75" hidden="1" customHeight="1" outlineLevel="1">
      <c r="B877" s="384">
        <v>2024</v>
      </c>
      <c r="C877" s="384">
        <v>12</v>
      </c>
      <c r="D877" s="367" t="s">
        <v>5</v>
      </c>
      <c r="E877" s="367" t="s">
        <v>6</v>
      </c>
      <c r="F877" s="367" t="s">
        <v>1590</v>
      </c>
      <c r="G877" s="385">
        <v>45471</v>
      </c>
      <c r="H877" s="367" t="s">
        <v>14</v>
      </c>
      <c r="I877" s="368" t="str">
        <f>VLOOKUP(H877,'[2]Source Codes'!A$2:B$115,2,FALSE)</f>
        <v>AP Warrant Issuance</v>
      </c>
      <c r="J877" s="412">
        <v>-1123678.1399999999</v>
      </c>
      <c r="K877" s="385">
        <v>45533</v>
      </c>
      <c r="L877" s="387" t="s">
        <v>1593</v>
      </c>
      <c r="M877" s="388">
        <v>45533.377662037034</v>
      </c>
      <c r="N877" s="368" t="s">
        <v>359</v>
      </c>
      <c r="O877" s="368" t="s">
        <v>357</v>
      </c>
    </row>
    <row r="878" spans="1:15" ht="12.75" hidden="1" customHeight="1" outlineLevel="1">
      <c r="B878" s="384">
        <v>2025</v>
      </c>
      <c r="C878" s="384">
        <v>2</v>
      </c>
      <c r="D878" s="367" t="s">
        <v>5</v>
      </c>
      <c r="E878" s="367" t="s">
        <v>6</v>
      </c>
      <c r="F878" s="367" t="s">
        <v>1591</v>
      </c>
      <c r="G878" s="385">
        <v>45513</v>
      </c>
      <c r="H878" s="367" t="s">
        <v>12</v>
      </c>
      <c r="I878" s="368" t="str">
        <f>VLOOKUP(H878,'[2]Source Codes'!A$2:B$115,2,FALSE)</f>
        <v>AR Direct Cash Journal</v>
      </c>
      <c r="J878" s="412">
        <v>2542275.59</v>
      </c>
      <c r="K878" s="385">
        <v>45534</v>
      </c>
      <c r="L878" s="387" t="s">
        <v>1595</v>
      </c>
      <c r="M878" s="388">
        <v>45534.751712962963</v>
      </c>
      <c r="N878" s="368" t="s">
        <v>359</v>
      </c>
      <c r="O878" s="368" t="s">
        <v>368</v>
      </c>
    </row>
    <row r="879" spans="1:15" ht="12.75" hidden="1" customHeight="1" outlineLevel="1">
      <c r="B879" s="384">
        <v>2025</v>
      </c>
      <c r="C879" s="384">
        <v>2</v>
      </c>
      <c r="D879" s="367" t="s">
        <v>5</v>
      </c>
      <c r="E879" s="367" t="s">
        <v>6</v>
      </c>
      <c r="F879" s="367" t="s">
        <v>1592</v>
      </c>
      <c r="G879" s="385">
        <v>45532</v>
      </c>
      <c r="H879" s="367" t="s">
        <v>12</v>
      </c>
      <c r="I879" s="368" t="str">
        <f>VLOOKUP(H879,'[2]Source Codes'!A$2:B$115,2,FALSE)</f>
        <v>AR Direct Cash Journal</v>
      </c>
      <c r="J879" s="412">
        <v>41655757.469999999</v>
      </c>
      <c r="K879" s="385">
        <v>45534</v>
      </c>
      <c r="L879" s="387" t="s">
        <v>401</v>
      </c>
      <c r="M879" s="388">
        <v>45534.751712962963</v>
      </c>
      <c r="N879" s="368" t="s">
        <v>359</v>
      </c>
      <c r="O879" s="368" t="s">
        <v>368</v>
      </c>
    </row>
    <row r="880" spans="1:15" ht="12.75" customHeight="1" collapsed="1">
      <c r="J880" s="413">
        <f>SUM(J876:J879)</f>
        <v>40878669.469999999</v>
      </c>
    </row>
    <row r="882" spans="1:15" ht="12.75" customHeight="1">
      <c r="A882" s="378" t="s">
        <v>1596</v>
      </c>
    </row>
    <row r="883" spans="1:15" ht="45" hidden="1" outlineLevel="1">
      <c r="B883" s="384">
        <v>2025</v>
      </c>
      <c r="C883" s="384">
        <v>2</v>
      </c>
      <c r="D883" s="367" t="s">
        <v>5</v>
      </c>
      <c r="E883" s="367" t="s">
        <v>6</v>
      </c>
      <c r="F883" s="367" t="s">
        <v>1597</v>
      </c>
      <c r="G883" s="385">
        <v>45533</v>
      </c>
      <c r="H883" s="367" t="s">
        <v>12</v>
      </c>
      <c r="I883" s="368" t="str">
        <f>VLOOKUP(H883,'[2]Source Codes'!A$2:B$115,2,FALSE)</f>
        <v>AR Direct Cash Journal</v>
      </c>
      <c r="J883" s="412">
        <v>14497259.35</v>
      </c>
      <c r="K883" s="385">
        <v>45538</v>
      </c>
      <c r="L883" s="387" t="s">
        <v>1604</v>
      </c>
      <c r="M883" s="388">
        <v>45538.751875000002</v>
      </c>
      <c r="N883" s="368" t="s">
        <v>359</v>
      </c>
      <c r="O883" s="368" t="s">
        <v>368</v>
      </c>
    </row>
    <row r="884" spans="1:15" ht="30" hidden="1" outlineLevel="1">
      <c r="B884" s="384">
        <v>2025</v>
      </c>
      <c r="C884" s="384">
        <v>2</v>
      </c>
      <c r="D884" s="367" t="s">
        <v>5</v>
      </c>
      <c r="E884" s="367" t="s">
        <v>6</v>
      </c>
      <c r="F884" s="389" t="s">
        <v>1598</v>
      </c>
      <c r="G884" s="385">
        <v>45525</v>
      </c>
      <c r="H884" s="367" t="s">
        <v>9</v>
      </c>
      <c r="I884" s="368" t="str">
        <f>VLOOKUP(H884,'[2]Source Codes'!A$2:B$115,2,FALSE)</f>
        <v>On Line Journal Entries</v>
      </c>
      <c r="J884" s="412">
        <v>14392339.859999999</v>
      </c>
      <c r="K884" s="385">
        <v>45538</v>
      </c>
      <c r="L884" s="387" t="s">
        <v>344</v>
      </c>
      <c r="M884" s="388">
        <v>45538.316574074073</v>
      </c>
      <c r="N884" s="368" t="s">
        <v>359</v>
      </c>
      <c r="O884" s="368" t="s">
        <v>364</v>
      </c>
    </row>
    <row r="885" spans="1:15" ht="30" hidden="1" outlineLevel="1">
      <c r="B885" s="384">
        <v>2025</v>
      </c>
      <c r="C885" s="384">
        <v>2</v>
      </c>
      <c r="D885" s="367" t="s">
        <v>5</v>
      </c>
      <c r="E885" s="367" t="s">
        <v>6</v>
      </c>
      <c r="F885" s="389" t="s">
        <v>1599</v>
      </c>
      <c r="G885" s="385">
        <v>45524</v>
      </c>
      <c r="H885" s="367" t="s">
        <v>9</v>
      </c>
      <c r="I885" s="368" t="str">
        <f>VLOOKUP(H885,'[2]Source Codes'!A$2:B$115,2,FALSE)</f>
        <v>On Line Journal Entries</v>
      </c>
      <c r="J885" s="412">
        <v>7482900</v>
      </c>
      <c r="K885" s="385">
        <v>45538</v>
      </c>
      <c r="L885" s="387" t="s">
        <v>344</v>
      </c>
      <c r="M885" s="388">
        <v>45538.318888888891</v>
      </c>
      <c r="N885" s="368" t="s">
        <v>359</v>
      </c>
      <c r="O885" s="368" t="s">
        <v>364</v>
      </c>
    </row>
    <row r="886" spans="1:15" ht="30" hidden="1" outlineLevel="1">
      <c r="B886" s="384">
        <v>2025</v>
      </c>
      <c r="C886" s="384">
        <v>2</v>
      </c>
      <c r="D886" s="367" t="s">
        <v>5</v>
      </c>
      <c r="E886" s="367" t="s">
        <v>6</v>
      </c>
      <c r="F886" s="389" t="s">
        <v>1600</v>
      </c>
      <c r="G886" s="385">
        <v>45524</v>
      </c>
      <c r="H886" s="367" t="s">
        <v>9</v>
      </c>
      <c r="I886" s="368" t="str">
        <f>VLOOKUP(H886,'[2]Source Codes'!A$2:B$115,2,FALSE)</f>
        <v>On Line Journal Entries</v>
      </c>
      <c r="J886" s="412">
        <v>6949900</v>
      </c>
      <c r="K886" s="385">
        <v>45538</v>
      </c>
      <c r="L886" s="387" t="s">
        <v>344</v>
      </c>
      <c r="M886" s="388">
        <v>45538.319722222222</v>
      </c>
      <c r="N886" s="368" t="s">
        <v>359</v>
      </c>
      <c r="O886" s="368" t="s">
        <v>364</v>
      </c>
    </row>
    <row r="887" spans="1:15" ht="30" hidden="1" outlineLevel="1">
      <c r="B887" s="384">
        <v>2025</v>
      </c>
      <c r="C887" s="384">
        <v>2</v>
      </c>
      <c r="D887" s="367" t="s">
        <v>5</v>
      </c>
      <c r="E887" s="367" t="s">
        <v>6</v>
      </c>
      <c r="F887" s="389" t="s">
        <v>1601</v>
      </c>
      <c r="G887" s="385">
        <v>45524</v>
      </c>
      <c r="H887" s="367" t="s">
        <v>9</v>
      </c>
      <c r="I887" s="368" t="str">
        <f>VLOOKUP(H887,'[2]Source Codes'!A$2:B$115,2,FALSE)</f>
        <v>On Line Journal Entries</v>
      </c>
      <c r="J887" s="412">
        <v>4230600</v>
      </c>
      <c r="K887" s="385">
        <v>45538</v>
      </c>
      <c r="L887" s="387" t="s">
        <v>344</v>
      </c>
      <c r="M887" s="388">
        <v>45538.333055555559</v>
      </c>
      <c r="N887" s="368" t="s">
        <v>359</v>
      </c>
      <c r="O887" s="368" t="s">
        <v>364</v>
      </c>
    </row>
    <row r="888" spans="1:15" ht="60" hidden="1" outlineLevel="1">
      <c r="B888" s="384">
        <v>2025</v>
      </c>
      <c r="C888" s="384">
        <v>2</v>
      </c>
      <c r="D888" s="367" t="s">
        <v>5</v>
      </c>
      <c r="E888" s="367" t="s">
        <v>6</v>
      </c>
      <c r="F888" s="389" t="s">
        <v>1602</v>
      </c>
      <c r="G888" s="385">
        <v>45523</v>
      </c>
      <c r="H888" s="367" t="s">
        <v>9</v>
      </c>
      <c r="I888" s="368" t="str">
        <f>VLOOKUP(H888,'[2]Source Codes'!A$2:B$115,2,FALSE)</f>
        <v>On Line Journal Entries</v>
      </c>
      <c r="J888" s="412">
        <v>2469662</v>
      </c>
      <c r="K888" s="385">
        <v>45538</v>
      </c>
      <c r="L888" s="387" t="s">
        <v>347</v>
      </c>
      <c r="M888" s="388">
        <v>45538.312361111108</v>
      </c>
      <c r="N888" s="368" t="s">
        <v>359</v>
      </c>
      <c r="O888" s="368" t="s">
        <v>364</v>
      </c>
    </row>
    <row r="889" spans="1:15" ht="75" hidden="1" outlineLevel="1">
      <c r="B889" s="384">
        <v>2025</v>
      </c>
      <c r="C889" s="384">
        <v>2</v>
      </c>
      <c r="D889" s="367" t="s">
        <v>5</v>
      </c>
      <c r="E889" s="367" t="s">
        <v>6</v>
      </c>
      <c r="F889" s="389" t="s">
        <v>1603</v>
      </c>
      <c r="G889" s="385">
        <v>45526</v>
      </c>
      <c r="H889" s="367" t="s">
        <v>9</v>
      </c>
      <c r="I889" s="368" t="str">
        <f>VLOOKUP(H889,'[2]Source Codes'!A$2:B$115,2,FALSE)</f>
        <v>On Line Journal Entries</v>
      </c>
      <c r="J889" s="412">
        <v>1583126</v>
      </c>
      <c r="K889" s="385">
        <v>45538</v>
      </c>
      <c r="L889" s="387" t="s">
        <v>339</v>
      </c>
      <c r="M889" s="388">
        <v>45538.320347222223</v>
      </c>
      <c r="N889" s="368" t="s">
        <v>359</v>
      </c>
      <c r="O889" s="368" t="s">
        <v>364</v>
      </c>
    </row>
    <row r="890" spans="1:15" ht="12.75" customHeight="1" collapsed="1">
      <c r="J890" s="413">
        <f>SUM(J883:J889)</f>
        <v>51605787.210000001</v>
      </c>
    </row>
    <row r="892" spans="1:15" ht="12.75" customHeight="1">
      <c r="A892" s="378" t="s">
        <v>1605</v>
      </c>
    </row>
    <row r="893" spans="1:15" ht="30" hidden="1" outlineLevel="1">
      <c r="B893" s="384">
        <v>2025</v>
      </c>
      <c r="C893" s="384">
        <v>3</v>
      </c>
      <c r="D893" s="367" t="s">
        <v>5</v>
      </c>
      <c r="E893" s="367" t="s">
        <v>6</v>
      </c>
      <c r="F893" s="367" t="s">
        <v>1606</v>
      </c>
      <c r="G893" s="385">
        <v>45538</v>
      </c>
      <c r="H893" s="367" t="s">
        <v>12</v>
      </c>
      <c r="I893" s="368" t="str">
        <f>VLOOKUP(H893,'[2]Source Codes'!A$2:B$115,2,FALSE)</f>
        <v>AR Direct Cash Journal</v>
      </c>
      <c r="J893" s="412">
        <v>1766756.91</v>
      </c>
      <c r="K893" s="385">
        <v>45539</v>
      </c>
      <c r="L893" s="387" t="s">
        <v>1611</v>
      </c>
      <c r="M893" s="388">
        <v>45539.751944444448</v>
      </c>
      <c r="N893" s="368" t="s">
        <v>1612</v>
      </c>
      <c r="O893" s="368" t="s">
        <v>370</v>
      </c>
    </row>
    <row r="894" spans="1:15" ht="15" hidden="1" outlineLevel="1">
      <c r="B894" s="384">
        <v>2025</v>
      </c>
      <c r="C894" s="384">
        <v>3</v>
      </c>
      <c r="D894" s="367" t="s">
        <v>5</v>
      </c>
      <c r="E894" s="367" t="s">
        <v>6</v>
      </c>
      <c r="F894" s="389" t="s">
        <v>1607</v>
      </c>
      <c r="G894" s="385">
        <v>45538</v>
      </c>
      <c r="H894" s="367" t="s">
        <v>86</v>
      </c>
      <c r="I894" s="368" t="str">
        <f>VLOOKUP(H894,'[2]Source Codes'!A$2:B$115,2,FALSE)</f>
        <v>CAFR ONLY - Client Audit Adj</v>
      </c>
      <c r="J894" s="412">
        <v>28777177.59</v>
      </c>
      <c r="K894" s="385">
        <v>45539</v>
      </c>
      <c r="L894" s="387" t="s">
        <v>1608</v>
      </c>
      <c r="M894" s="388">
        <v>45539.424004629633</v>
      </c>
      <c r="N894" s="368" t="s">
        <v>387</v>
      </c>
      <c r="O894" s="368" t="s">
        <v>368</v>
      </c>
    </row>
    <row r="895" spans="1:15" ht="15" hidden="1" outlineLevel="1">
      <c r="B895" s="384">
        <v>2025</v>
      </c>
      <c r="C895" s="384">
        <v>2</v>
      </c>
      <c r="D895" s="367" t="s">
        <v>5</v>
      </c>
      <c r="E895" s="367" t="s">
        <v>6</v>
      </c>
      <c r="F895" s="389" t="s">
        <v>1609</v>
      </c>
      <c r="G895" s="385">
        <v>45505</v>
      </c>
      <c r="H895" s="367" t="s">
        <v>9</v>
      </c>
      <c r="I895" s="368" t="str">
        <f>VLOOKUP(H895,'[2]Source Codes'!A$2:B$115,2,FALSE)</f>
        <v>On Line Journal Entries</v>
      </c>
      <c r="J895" s="412">
        <v>2322901.29</v>
      </c>
      <c r="K895" s="385">
        <v>45539</v>
      </c>
      <c r="L895" s="387" t="s">
        <v>1610</v>
      </c>
      <c r="M895" s="388">
        <v>45539.544768518521</v>
      </c>
      <c r="N895" s="368" t="s">
        <v>1612</v>
      </c>
      <c r="O895" s="368" t="s">
        <v>373</v>
      </c>
    </row>
    <row r="896" spans="1:15" ht="12.75" customHeight="1" collapsed="1">
      <c r="J896" s="413">
        <f>SUM(J893:J895)</f>
        <v>32866835.789999999</v>
      </c>
    </row>
    <row r="898" spans="1:15" ht="12.75" customHeight="1">
      <c r="A898" s="378" t="s">
        <v>1613</v>
      </c>
    </row>
    <row r="899" spans="1:15" ht="15" hidden="1" outlineLevel="1">
      <c r="B899" s="384">
        <v>2025</v>
      </c>
      <c r="C899" s="384">
        <v>2</v>
      </c>
      <c r="D899" s="367" t="s">
        <v>5</v>
      </c>
      <c r="E899" s="367" t="s">
        <v>6</v>
      </c>
      <c r="F899" s="389" t="s">
        <v>1614</v>
      </c>
      <c r="G899" s="385">
        <v>45531</v>
      </c>
      <c r="H899" s="367" t="s">
        <v>9</v>
      </c>
      <c r="I899" s="368" t="str">
        <f>VLOOKUP(H899,'[2]Source Codes'!A$2:B$115,2,FALSE)</f>
        <v>On Line Journal Entries</v>
      </c>
      <c r="J899" s="412">
        <v>16025443.359999999</v>
      </c>
      <c r="K899" s="385">
        <v>45540</v>
      </c>
      <c r="L899" s="387" t="s">
        <v>1619</v>
      </c>
      <c r="M899" s="388">
        <v>45540.492222222223</v>
      </c>
      <c r="N899" s="368" t="s">
        <v>359</v>
      </c>
      <c r="O899" s="368" t="s">
        <v>371</v>
      </c>
    </row>
    <row r="900" spans="1:15" ht="30" hidden="1" outlineLevel="1">
      <c r="B900" s="384">
        <v>2025</v>
      </c>
      <c r="C900" s="384">
        <v>2</v>
      </c>
      <c r="D900" s="367" t="s">
        <v>5</v>
      </c>
      <c r="E900" s="367" t="s">
        <v>6</v>
      </c>
      <c r="F900" s="389" t="s">
        <v>1615</v>
      </c>
      <c r="G900" s="385">
        <v>45531</v>
      </c>
      <c r="H900" s="367" t="s">
        <v>9</v>
      </c>
      <c r="I900" s="368" t="str">
        <f>VLOOKUP(H900,'[2]Source Codes'!A$2:B$115,2,FALSE)</f>
        <v>On Line Journal Entries</v>
      </c>
      <c r="J900" s="412">
        <v>6390119.0300000003</v>
      </c>
      <c r="K900" s="385">
        <v>45540</v>
      </c>
      <c r="L900" s="387" t="s">
        <v>1620</v>
      </c>
      <c r="M900" s="388">
        <v>45540.49726851852</v>
      </c>
      <c r="N900" s="368" t="s">
        <v>359</v>
      </c>
      <c r="O900" s="368" t="s">
        <v>371</v>
      </c>
    </row>
    <row r="901" spans="1:15" ht="60" hidden="1" outlineLevel="1">
      <c r="B901" s="384">
        <v>2025</v>
      </c>
      <c r="C901" s="384">
        <v>2</v>
      </c>
      <c r="D901" s="367" t="s">
        <v>5</v>
      </c>
      <c r="E901" s="367" t="s">
        <v>6</v>
      </c>
      <c r="F901" s="389" t="s">
        <v>1616</v>
      </c>
      <c r="G901" s="385">
        <v>45531</v>
      </c>
      <c r="H901" s="367" t="s">
        <v>9</v>
      </c>
      <c r="I901" s="368" t="str">
        <f>VLOOKUP(H901,'[2]Source Codes'!A$2:B$115,2,FALSE)</f>
        <v>On Line Journal Entries</v>
      </c>
      <c r="J901" s="412">
        <v>3348859.09</v>
      </c>
      <c r="K901" s="385">
        <v>45540</v>
      </c>
      <c r="L901" s="387" t="s">
        <v>1624</v>
      </c>
      <c r="M901" s="388">
        <v>45540.477916666663</v>
      </c>
      <c r="N901" s="368" t="s">
        <v>359</v>
      </c>
      <c r="O901" s="368" t="s">
        <v>371</v>
      </c>
    </row>
    <row r="902" spans="1:15" ht="45" hidden="1" outlineLevel="1">
      <c r="B902" s="384">
        <v>2025</v>
      </c>
      <c r="C902" s="384">
        <v>2</v>
      </c>
      <c r="D902" s="367" t="s">
        <v>5</v>
      </c>
      <c r="E902" s="367" t="s">
        <v>6</v>
      </c>
      <c r="F902" s="389" t="s">
        <v>1617</v>
      </c>
      <c r="G902" s="385">
        <v>45531</v>
      </c>
      <c r="H902" s="367" t="s">
        <v>9</v>
      </c>
      <c r="I902" s="368" t="str">
        <f>VLOOKUP(H902,'[2]Source Codes'!A$2:B$115,2,FALSE)</f>
        <v>On Line Journal Entries</v>
      </c>
      <c r="J902" s="412">
        <v>2080965.16</v>
      </c>
      <c r="K902" s="385">
        <v>45540</v>
      </c>
      <c r="L902" s="387" t="s">
        <v>1621</v>
      </c>
      <c r="M902" s="388">
        <v>45540.48541666667</v>
      </c>
      <c r="N902" s="368" t="s">
        <v>359</v>
      </c>
      <c r="O902" s="368" t="s">
        <v>371</v>
      </c>
    </row>
    <row r="903" spans="1:15" ht="15" hidden="1" outlineLevel="1">
      <c r="B903" s="384">
        <v>2025</v>
      </c>
      <c r="C903" s="384">
        <v>2</v>
      </c>
      <c r="D903" s="367" t="s">
        <v>5</v>
      </c>
      <c r="E903" s="367" t="s">
        <v>6</v>
      </c>
      <c r="F903" s="389" t="s">
        <v>1618</v>
      </c>
      <c r="G903" s="385">
        <v>45531</v>
      </c>
      <c r="H903" s="367" t="s">
        <v>9</v>
      </c>
      <c r="I903" s="368" t="str">
        <f>VLOOKUP(H903,'[2]Source Codes'!A$2:B$115,2,FALSE)</f>
        <v>On Line Journal Entries</v>
      </c>
      <c r="J903" s="412">
        <v>1572650.07</v>
      </c>
      <c r="K903" s="385">
        <v>45540</v>
      </c>
      <c r="L903" s="387" t="s">
        <v>1622</v>
      </c>
      <c r="M903" s="388">
        <v>45540.475428240738</v>
      </c>
      <c r="N903" s="368" t="s">
        <v>359</v>
      </c>
      <c r="O903" s="368" t="s">
        <v>371</v>
      </c>
    </row>
    <row r="904" spans="1:15" ht="30" hidden="1" outlineLevel="1">
      <c r="B904" s="384">
        <v>2025</v>
      </c>
      <c r="C904" s="384">
        <v>2</v>
      </c>
      <c r="D904" s="367" t="s">
        <v>5</v>
      </c>
      <c r="E904" s="367" t="s">
        <v>6</v>
      </c>
      <c r="F904" s="389" t="s">
        <v>1623</v>
      </c>
      <c r="G904" s="385">
        <v>45531</v>
      </c>
      <c r="H904" s="367" t="s">
        <v>9</v>
      </c>
      <c r="I904" s="368" t="str">
        <f>VLOOKUP(H904,'[2]Source Codes'!A$2:B$115,2,FALSE)</f>
        <v>On Line Journal Entries</v>
      </c>
      <c r="J904" s="412">
        <v>-3432738.46</v>
      </c>
      <c r="K904" s="385">
        <v>45540</v>
      </c>
      <c r="L904" s="387" t="s">
        <v>1625</v>
      </c>
      <c r="M904" s="388">
        <v>45540.493333333332</v>
      </c>
      <c r="N904" s="368" t="s">
        <v>359</v>
      </c>
      <c r="O904" s="368" t="s">
        <v>371</v>
      </c>
    </row>
    <row r="905" spans="1:15" ht="12.75" customHeight="1" collapsed="1">
      <c r="J905" s="413">
        <f>SUM(J899:J904)</f>
        <v>25985298.25</v>
      </c>
    </row>
    <row r="907" spans="1:15" ht="12.75" customHeight="1">
      <c r="A907" s="378" t="s">
        <v>1626</v>
      </c>
    </row>
    <row r="908" spans="1:15" ht="45" hidden="1" outlineLevel="1">
      <c r="B908" s="384">
        <v>2025</v>
      </c>
      <c r="C908" s="384">
        <v>3</v>
      </c>
      <c r="D908" s="367" t="s">
        <v>5</v>
      </c>
      <c r="E908" s="367" t="s">
        <v>6</v>
      </c>
      <c r="F908" s="389" t="s">
        <v>1627</v>
      </c>
      <c r="G908" s="385">
        <v>45544</v>
      </c>
      <c r="H908" s="367" t="s">
        <v>14</v>
      </c>
      <c r="I908" s="368" t="str">
        <f>VLOOKUP(H908,'[2]Source Codes'!A$2:B$115,2,FALSE)</f>
        <v>AP Warrant Issuance</v>
      </c>
      <c r="J908" s="412">
        <v>-1872661</v>
      </c>
      <c r="K908" s="385">
        <v>45544</v>
      </c>
      <c r="L908" s="387" t="s">
        <v>1634</v>
      </c>
      <c r="M908" s="388">
        <v>45544.79351851852</v>
      </c>
      <c r="N908" s="368" t="s">
        <v>1583</v>
      </c>
      <c r="O908" s="368" t="s">
        <v>358</v>
      </c>
    </row>
    <row r="909" spans="1:15" ht="30" hidden="1" outlineLevel="1">
      <c r="B909" s="384">
        <v>2025</v>
      </c>
      <c r="C909" s="384">
        <v>3</v>
      </c>
      <c r="D909" s="367" t="s">
        <v>5</v>
      </c>
      <c r="E909" s="367" t="s">
        <v>6</v>
      </c>
      <c r="F909" s="389" t="s">
        <v>1628</v>
      </c>
      <c r="G909" s="385">
        <v>45544</v>
      </c>
      <c r="H909" s="367" t="s">
        <v>12</v>
      </c>
      <c r="I909" s="368" t="str">
        <f>VLOOKUP(H909,'[2]Source Codes'!A$2:B$115,2,FALSE)</f>
        <v>AR Direct Cash Journal</v>
      </c>
      <c r="J909" s="412">
        <v>3000000</v>
      </c>
      <c r="K909" s="385">
        <v>45544</v>
      </c>
      <c r="L909" s="387" t="s">
        <v>1635</v>
      </c>
      <c r="M909" s="388">
        <v>45544.751967592594</v>
      </c>
      <c r="N909" s="368" t="s">
        <v>1583</v>
      </c>
      <c r="O909" s="368" t="s">
        <v>504</v>
      </c>
    </row>
    <row r="910" spans="1:15" ht="12.75" hidden="1" customHeight="1" outlineLevel="1">
      <c r="B910" s="384">
        <v>2025</v>
      </c>
      <c r="C910" s="384">
        <v>3</v>
      </c>
      <c r="D910" s="367" t="s">
        <v>5</v>
      </c>
      <c r="E910" s="367" t="s">
        <v>6</v>
      </c>
      <c r="F910" s="389" t="s">
        <v>1629</v>
      </c>
      <c r="G910" s="385">
        <v>45538</v>
      </c>
      <c r="H910" s="367" t="s">
        <v>13</v>
      </c>
      <c r="I910" s="368" t="str">
        <f>VLOOKUP(H910,'[2]Source Codes'!A$2:B$115,2,FALSE)</f>
        <v>C-IV Voucher/Payments/EBT</v>
      </c>
      <c r="J910" s="412">
        <v>-9643678.1500000004</v>
      </c>
      <c r="K910" s="385">
        <v>45544</v>
      </c>
      <c r="L910" s="387" t="s">
        <v>388</v>
      </c>
      <c r="M910" s="388">
        <v>45544.870162037034</v>
      </c>
      <c r="N910" s="368" t="s">
        <v>359</v>
      </c>
      <c r="O910" s="368" t="s">
        <v>364</v>
      </c>
    </row>
    <row r="911" spans="1:15" ht="12.75" hidden="1" customHeight="1" outlineLevel="1">
      <c r="B911" s="384">
        <v>2025</v>
      </c>
      <c r="C911" s="384">
        <v>3</v>
      </c>
      <c r="D911" s="367" t="s">
        <v>5</v>
      </c>
      <c r="E911" s="367" t="s">
        <v>6</v>
      </c>
      <c r="F911" s="389" t="s">
        <v>1630</v>
      </c>
      <c r="G911" s="385">
        <v>45538</v>
      </c>
      <c r="H911" s="367" t="s">
        <v>13</v>
      </c>
      <c r="I911" s="368" t="str">
        <f>VLOOKUP(H911,'[2]Source Codes'!A$2:B$115,2,FALSE)</f>
        <v>C-IV Voucher/Payments/EBT</v>
      </c>
      <c r="J911" s="412">
        <v>-11645761.26</v>
      </c>
      <c r="K911" s="385">
        <v>45544</v>
      </c>
      <c r="L911" s="387" t="s">
        <v>1632</v>
      </c>
      <c r="M911" s="388">
        <v>45544.870162037034</v>
      </c>
      <c r="N911" s="368" t="s">
        <v>359</v>
      </c>
      <c r="O911" s="368" t="s">
        <v>364</v>
      </c>
    </row>
    <row r="912" spans="1:15" ht="12.75" hidden="1" customHeight="1" outlineLevel="1">
      <c r="B912" s="384">
        <v>2025</v>
      </c>
      <c r="C912" s="384">
        <v>3</v>
      </c>
      <c r="D912" s="367" t="s">
        <v>5</v>
      </c>
      <c r="E912" s="367" t="s">
        <v>6</v>
      </c>
      <c r="F912" s="389" t="s">
        <v>1631</v>
      </c>
      <c r="G912" s="385">
        <v>45538</v>
      </c>
      <c r="H912" s="367" t="s">
        <v>13</v>
      </c>
      <c r="I912" s="368" t="str">
        <f>VLOOKUP(H912,'[2]Source Codes'!A$2:B$115,2,FALSE)</f>
        <v>C-IV Voucher/Payments/EBT</v>
      </c>
      <c r="J912" s="412">
        <v>-17147420.68</v>
      </c>
      <c r="K912" s="385">
        <v>45544</v>
      </c>
      <c r="L912" s="387" t="s">
        <v>1633</v>
      </c>
      <c r="M912" s="388">
        <v>45544.870162037034</v>
      </c>
      <c r="N912" s="368" t="s">
        <v>359</v>
      </c>
      <c r="O912" s="368" t="s">
        <v>364</v>
      </c>
    </row>
    <row r="913" spans="1:15" ht="12.75" customHeight="1" collapsed="1">
      <c r="J913" s="413">
        <f>SUM(J908:J912)</f>
        <v>-37309521.090000004</v>
      </c>
    </row>
    <row r="915" spans="1:15" ht="12.75" customHeight="1">
      <c r="A915" s="378" t="s">
        <v>1636</v>
      </c>
    </row>
    <row r="916" spans="1:15" ht="60" hidden="1" outlineLevel="2">
      <c r="B916" s="384">
        <v>2025</v>
      </c>
      <c r="C916" s="384">
        <v>3</v>
      </c>
      <c r="D916" s="367" t="s">
        <v>5</v>
      </c>
      <c r="E916" s="367" t="s">
        <v>6</v>
      </c>
      <c r="F916" s="389" t="s">
        <v>1637</v>
      </c>
      <c r="G916" s="385">
        <v>45547</v>
      </c>
      <c r="H916" s="367" t="s">
        <v>14</v>
      </c>
      <c r="I916" s="368" t="str">
        <f>VLOOKUP(H916,'[2]Source Codes'!A$2:B$115,2,FALSE)</f>
        <v>AP Warrant Issuance</v>
      </c>
      <c r="J916" s="412">
        <v>-4979866.59</v>
      </c>
      <c r="K916" s="385">
        <v>45545</v>
      </c>
      <c r="L916" s="387" t="s">
        <v>1639</v>
      </c>
      <c r="M916" s="388">
        <v>45545.793611111112</v>
      </c>
      <c r="N916" s="368" t="s">
        <v>359</v>
      </c>
      <c r="O916" s="368" t="s">
        <v>364</v>
      </c>
    </row>
    <row r="917" spans="1:15" ht="60" hidden="1" outlineLevel="2">
      <c r="B917" s="384">
        <v>2025</v>
      </c>
      <c r="C917" s="384">
        <v>3</v>
      </c>
      <c r="D917" s="367" t="s">
        <v>5</v>
      </c>
      <c r="E917" s="367" t="s">
        <v>6</v>
      </c>
      <c r="F917" s="389" t="s">
        <v>1638</v>
      </c>
      <c r="G917" s="385">
        <v>45545</v>
      </c>
      <c r="H917" s="367" t="s">
        <v>14</v>
      </c>
      <c r="I917" s="368" t="str">
        <f>VLOOKUP(H917,'[2]Source Codes'!A$2:B$115,2,FALSE)</f>
        <v>AP Warrant Issuance</v>
      </c>
      <c r="J917" s="412">
        <v>-1254073.73</v>
      </c>
      <c r="K917" s="385">
        <v>45545</v>
      </c>
      <c r="L917" s="387" t="s">
        <v>1649</v>
      </c>
      <c r="M917" s="388">
        <v>45545.79351851852</v>
      </c>
      <c r="N917" s="368" t="s">
        <v>359</v>
      </c>
      <c r="O917" s="368" t="s">
        <v>363</v>
      </c>
    </row>
    <row r="918" spans="1:15" ht="30" hidden="1" outlineLevel="2">
      <c r="B918" s="384">
        <v>2025</v>
      </c>
      <c r="C918" s="384">
        <v>3</v>
      </c>
      <c r="D918" s="367" t="s">
        <v>5</v>
      </c>
      <c r="E918" s="367" t="s">
        <v>6</v>
      </c>
      <c r="F918" s="389" t="s">
        <v>1640</v>
      </c>
      <c r="G918" s="385">
        <v>45539</v>
      </c>
      <c r="H918" s="367" t="s">
        <v>11</v>
      </c>
      <c r="I918" s="368" t="str">
        <f>VLOOKUP(H918,'[2]Source Codes'!A$2:B$115,2,FALSE)</f>
        <v>AR Payments</v>
      </c>
      <c r="J918" s="412">
        <v>1245690.6000000001</v>
      </c>
      <c r="K918" s="385">
        <v>45545</v>
      </c>
      <c r="L918" s="387" t="s">
        <v>1647</v>
      </c>
      <c r="M918" s="388">
        <v>45545.751817129632</v>
      </c>
      <c r="N918" s="368" t="s">
        <v>359</v>
      </c>
      <c r="O918" s="368" t="s">
        <v>357</v>
      </c>
    </row>
    <row r="919" spans="1:15" ht="30" hidden="1" outlineLevel="2">
      <c r="B919" s="384">
        <v>2025</v>
      </c>
      <c r="C919" s="384">
        <v>3</v>
      </c>
      <c r="D919" s="367" t="s">
        <v>5</v>
      </c>
      <c r="E919" s="367" t="s">
        <v>6</v>
      </c>
      <c r="F919" s="389" t="s">
        <v>1641</v>
      </c>
      <c r="G919" s="385">
        <v>45544</v>
      </c>
      <c r="H919" s="367" t="s">
        <v>11</v>
      </c>
      <c r="I919" s="368" t="str">
        <f>VLOOKUP(H919,'[2]Source Codes'!A$2:B$115,2,FALSE)</f>
        <v>AR Payments</v>
      </c>
      <c r="J919" s="412">
        <v>2229739.23</v>
      </c>
      <c r="K919" s="385">
        <v>45545</v>
      </c>
      <c r="L919" s="387" t="s">
        <v>1648</v>
      </c>
      <c r="M919" s="388">
        <v>45545.751817129632</v>
      </c>
      <c r="N919" s="368" t="s">
        <v>359</v>
      </c>
      <c r="O919" s="368" t="s">
        <v>357</v>
      </c>
    </row>
    <row r="920" spans="1:15" ht="15" hidden="1" outlineLevel="2">
      <c r="B920" s="384">
        <v>2025</v>
      </c>
      <c r="C920" s="384">
        <v>3</v>
      </c>
      <c r="D920" s="367" t="s">
        <v>5</v>
      </c>
      <c r="E920" s="367" t="s">
        <v>6</v>
      </c>
      <c r="F920" s="389" t="s">
        <v>1642</v>
      </c>
      <c r="G920" s="385">
        <v>45539</v>
      </c>
      <c r="H920" s="367" t="s">
        <v>7</v>
      </c>
      <c r="I920" s="368" t="str">
        <f>VLOOKUP(H920,'[2]Source Codes'!A$2:B$115,2,FALSE)</f>
        <v>HRMS Interface Journals</v>
      </c>
      <c r="J920" s="412">
        <v>-2362938.42</v>
      </c>
      <c r="K920" s="385">
        <v>45545</v>
      </c>
      <c r="L920" s="387" t="s">
        <v>1643</v>
      </c>
      <c r="M920" s="388">
        <v>45545.335127314815</v>
      </c>
      <c r="N920" s="368" t="s">
        <v>378</v>
      </c>
      <c r="O920" s="368" t="s">
        <v>395</v>
      </c>
    </row>
    <row r="921" spans="1:15" ht="15" hidden="1" outlineLevel="2">
      <c r="B921" s="384">
        <v>2025</v>
      </c>
      <c r="C921" s="384">
        <v>3</v>
      </c>
      <c r="D921" s="367" t="s">
        <v>5</v>
      </c>
      <c r="E921" s="367" t="s">
        <v>6</v>
      </c>
      <c r="F921" s="389" t="s">
        <v>1644</v>
      </c>
      <c r="G921" s="385">
        <v>45536</v>
      </c>
      <c r="H921" s="367" t="s">
        <v>9</v>
      </c>
      <c r="I921" s="368" t="str">
        <f>VLOOKUP(H921,'[2]Source Codes'!A$2:B$115,2,FALSE)</f>
        <v>On Line Journal Entries</v>
      </c>
      <c r="J921" s="412">
        <v>-5075223.83</v>
      </c>
      <c r="K921" s="385">
        <v>45545</v>
      </c>
      <c r="L921" s="387" t="s">
        <v>1645</v>
      </c>
      <c r="M921" s="388">
        <v>45545.86996527778</v>
      </c>
      <c r="N921" s="368" t="s">
        <v>359</v>
      </c>
      <c r="O921" s="368" t="s">
        <v>374</v>
      </c>
    </row>
    <row r="922" spans="1:15" ht="15" hidden="1" outlineLevel="2">
      <c r="B922" s="384">
        <v>2025</v>
      </c>
      <c r="C922" s="384">
        <v>3</v>
      </c>
      <c r="D922" s="367" t="s">
        <v>5</v>
      </c>
      <c r="E922" s="367" t="s">
        <v>6</v>
      </c>
      <c r="F922" s="389" t="s">
        <v>1646</v>
      </c>
      <c r="G922" s="385">
        <v>45539</v>
      </c>
      <c r="H922" s="367" t="s">
        <v>7</v>
      </c>
      <c r="I922" s="368" t="str">
        <f>VLOOKUP(H922,'[2]Source Codes'!A$2:B$115,2,FALSE)</f>
        <v>HRMS Interface Journals</v>
      </c>
      <c r="J922" s="412">
        <v>-10459800.02</v>
      </c>
      <c r="K922" s="385">
        <v>45545</v>
      </c>
      <c r="L922" s="387" t="s">
        <v>349</v>
      </c>
      <c r="M922" s="388">
        <v>45545.330925925926</v>
      </c>
      <c r="N922" s="368" t="s">
        <v>378</v>
      </c>
      <c r="O922" s="368" t="s">
        <v>395</v>
      </c>
    </row>
    <row r="923" spans="1:15" ht="12.75" customHeight="1" collapsed="1">
      <c r="J923" s="413">
        <f>SUM(J916:J922)</f>
        <v>-20656472.759999998</v>
      </c>
    </row>
    <row r="925" spans="1:15" ht="12.75" customHeight="1">
      <c r="A925" s="378" t="s">
        <v>1650</v>
      </c>
    </row>
    <row r="926" spans="1:15" ht="30" hidden="1" outlineLevel="1">
      <c r="B926" s="384">
        <v>2025</v>
      </c>
      <c r="C926" s="384">
        <v>3</v>
      </c>
      <c r="D926" s="367" t="s">
        <v>5</v>
      </c>
      <c r="E926" s="367" t="s">
        <v>6</v>
      </c>
      <c r="F926" s="389" t="s">
        <v>1651</v>
      </c>
      <c r="G926" s="385">
        <v>45548</v>
      </c>
      <c r="H926" s="367" t="s">
        <v>14</v>
      </c>
      <c r="I926" s="368" t="str">
        <f>VLOOKUP(H926,'[2]Source Codes'!A$2:B$115,2,FALSE)</f>
        <v>AP Warrant Issuance</v>
      </c>
      <c r="J926" s="412">
        <v>-1093530.45</v>
      </c>
      <c r="K926" s="385">
        <v>45546</v>
      </c>
      <c r="L926" s="387" t="s">
        <v>1656</v>
      </c>
      <c r="M926" s="388">
        <v>45546.79383101852</v>
      </c>
      <c r="N926" s="368" t="s">
        <v>359</v>
      </c>
      <c r="O926" s="368" t="s">
        <v>364</v>
      </c>
    </row>
    <row r="927" spans="1:15" ht="30" hidden="1" outlineLevel="1">
      <c r="B927" s="384">
        <v>2025</v>
      </c>
      <c r="C927" s="384">
        <v>3</v>
      </c>
      <c r="D927" s="367" t="s">
        <v>5</v>
      </c>
      <c r="E927" s="367" t="s">
        <v>6</v>
      </c>
      <c r="F927" s="389" t="s">
        <v>1652</v>
      </c>
      <c r="G927" s="385">
        <v>45545</v>
      </c>
      <c r="H927" s="367" t="s">
        <v>12</v>
      </c>
      <c r="I927" s="368" t="str">
        <f>VLOOKUP(H927,'[2]Source Codes'!A$2:B$115,2,FALSE)</f>
        <v>AR Direct Cash Journal</v>
      </c>
      <c r="J927" s="412">
        <v>2548487</v>
      </c>
      <c r="K927" s="385">
        <v>45546</v>
      </c>
      <c r="L927" s="387" t="s">
        <v>1657</v>
      </c>
      <c r="M927" s="388">
        <v>45546.751886574071</v>
      </c>
      <c r="N927" s="368" t="s">
        <v>361</v>
      </c>
      <c r="O927" s="368" t="s">
        <v>385</v>
      </c>
    </row>
    <row r="928" spans="1:15" ht="15" hidden="1" outlineLevel="1">
      <c r="B928" s="384">
        <v>2025</v>
      </c>
      <c r="C928" s="384">
        <v>3</v>
      </c>
      <c r="D928" s="367" t="s">
        <v>5</v>
      </c>
      <c r="E928" s="367" t="s">
        <v>6</v>
      </c>
      <c r="F928" s="389" t="s">
        <v>1653</v>
      </c>
      <c r="G928" s="385">
        <v>45544</v>
      </c>
      <c r="H928" s="367" t="s">
        <v>337</v>
      </c>
      <c r="I928" s="368" t="str">
        <f>VLOOKUP(H928,'[2]Source Codes'!A$2:B$115,2,FALSE)</f>
        <v>Facilities Mngmnt Intfc Jrnls</v>
      </c>
      <c r="J928" s="412">
        <v>-3852155.7</v>
      </c>
      <c r="K928" s="385">
        <v>45546</v>
      </c>
      <c r="L928" s="387" t="s">
        <v>1654</v>
      </c>
      <c r="M928" s="388">
        <v>45546.473090277781</v>
      </c>
      <c r="N928" s="368" t="s">
        <v>359</v>
      </c>
      <c r="O928" s="368" t="s">
        <v>367</v>
      </c>
    </row>
    <row r="929" spans="1:15" ht="15" hidden="1" outlineLevel="1">
      <c r="B929" s="384">
        <v>2025</v>
      </c>
      <c r="C929" s="384">
        <v>3</v>
      </c>
      <c r="D929" s="367" t="s">
        <v>5</v>
      </c>
      <c r="E929" s="367" t="s">
        <v>6</v>
      </c>
      <c r="F929" s="389" t="s">
        <v>1655</v>
      </c>
      <c r="G929" s="385">
        <v>45539</v>
      </c>
      <c r="H929" s="367" t="s">
        <v>7</v>
      </c>
      <c r="I929" s="368" t="str">
        <f>VLOOKUP(H929,'[2]Source Codes'!A$2:B$115,2,FALSE)</f>
        <v>HRMS Interface Journals</v>
      </c>
      <c r="J929" s="412">
        <v>-67382800.959999993</v>
      </c>
      <c r="K929" s="385">
        <v>45546</v>
      </c>
      <c r="L929" s="387" t="s">
        <v>1497</v>
      </c>
      <c r="M929" s="388">
        <v>45546.326423611114</v>
      </c>
      <c r="N929" s="368" t="s">
        <v>378</v>
      </c>
      <c r="O929" s="368" t="s">
        <v>379</v>
      </c>
    </row>
    <row r="930" spans="1:15" ht="12.75" customHeight="1" collapsed="1">
      <c r="J930" s="413">
        <f>SUM(J926:J929)</f>
        <v>-69780000.109999999</v>
      </c>
    </row>
    <row r="932" spans="1:15" ht="12.75" customHeight="1">
      <c r="A932" s="378" t="s">
        <v>1658</v>
      </c>
    </row>
    <row r="933" spans="1:15" ht="45" hidden="1" outlineLevel="1">
      <c r="B933" s="384">
        <v>2025</v>
      </c>
      <c r="C933" s="384">
        <v>3</v>
      </c>
      <c r="D933" s="367" t="s">
        <v>5</v>
      </c>
      <c r="E933" s="367" t="s">
        <v>6</v>
      </c>
      <c r="F933" s="389" t="s">
        <v>1659</v>
      </c>
      <c r="G933" s="385">
        <v>45547</v>
      </c>
      <c r="H933" s="367" t="s">
        <v>14</v>
      </c>
      <c r="I933" s="368" t="str">
        <f>VLOOKUP(H933,'[2]Source Codes'!A$2:B$115,2,FALSE)</f>
        <v>AP Warrant Issuance</v>
      </c>
      <c r="J933" s="412">
        <v>-6280283.0300000003</v>
      </c>
      <c r="K933" s="385">
        <v>45547</v>
      </c>
      <c r="L933" s="387" t="s">
        <v>1663</v>
      </c>
      <c r="M933" s="388">
        <v>45547.793726851851</v>
      </c>
      <c r="N933" s="368" t="s">
        <v>361</v>
      </c>
      <c r="O933" s="368" t="s">
        <v>358</v>
      </c>
    </row>
    <row r="934" spans="1:15" ht="30" hidden="1" outlineLevel="1">
      <c r="B934" s="384">
        <v>2025</v>
      </c>
      <c r="C934" s="384">
        <v>3</v>
      </c>
      <c r="D934" s="367" t="s">
        <v>5</v>
      </c>
      <c r="E934" s="367" t="s">
        <v>6</v>
      </c>
      <c r="F934" s="389" t="s">
        <v>1660</v>
      </c>
      <c r="G934" s="385">
        <v>45551</v>
      </c>
      <c r="H934" s="367" t="s">
        <v>14</v>
      </c>
      <c r="I934" s="368" t="str">
        <f>VLOOKUP(H934,'[2]Source Codes'!A$2:B$115,2,FALSE)</f>
        <v>AP Warrant Issuance</v>
      </c>
      <c r="J934" s="412">
        <v>-1050964.32</v>
      </c>
      <c r="K934" s="385">
        <v>45547</v>
      </c>
      <c r="L934" s="387" t="s">
        <v>1664</v>
      </c>
      <c r="M934" s="388">
        <v>45547.793726851851</v>
      </c>
      <c r="N934" s="368" t="s">
        <v>359</v>
      </c>
      <c r="O934" s="368" t="s">
        <v>368</v>
      </c>
    </row>
    <row r="935" spans="1:15" ht="15" hidden="1" outlineLevel="1">
      <c r="B935" s="384">
        <v>2025</v>
      </c>
      <c r="C935" s="384">
        <v>3</v>
      </c>
      <c r="D935" s="367" t="s">
        <v>5</v>
      </c>
      <c r="E935" s="367" t="s">
        <v>6</v>
      </c>
      <c r="F935" s="389" t="s">
        <v>1661</v>
      </c>
      <c r="G935" s="385">
        <v>45540</v>
      </c>
      <c r="H935" s="367" t="s">
        <v>9</v>
      </c>
      <c r="I935" s="368" t="str">
        <f>VLOOKUP(H935,'[2]Source Codes'!A$2:B$115,2,FALSE)</f>
        <v>On Line Journal Entries</v>
      </c>
      <c r="J935" s="412">
        <v>-1542083</v>
      </c>
      <c r="K935" s="385">
        <v>45547</v>
      </c>
      <c r="L935" s="387" t="s">
        <v>1662</v>
      </c>
      <c r="M935" s="388">
        <v>45547.870416666665</v>
      </c>
      <c r="N935" s="368" t="s">
        <v>359</v>
      </c>
      <c r="O935" s="368" t="s">
        <v>368</v>
      </c>
    </row>
    <row r="936" spans="1:15" ht="12.75" customHeight="1" collapsed="1">
      <c r="J936" s="413">
        <f>SUM(J933:J935)</f>
        <v>-8873330.3500000015</v>
      </c>
    </row>
    <row r="938" spans="1:15" ht="12.75" customHeight="1">
      <c r="A938" s="378" t="s">
        <v>1665</v>
      </c>
    </row>
    <row r="939" spans="1:15" ht="12.75" hidden="1" customHeight="1" outlineLevel="1">
      <c r="B939" s="384">
        <v>2025</v>
      </c>
      <c r="C939" s="384">
        <v>3</v>
      </c>
      <c r="D939" s="367" t="s">
        <v>5</v>
      </c>
      <c r="E939" s="367" t="s">
        <v>6</v>
      </c>
      <c r="F939" s="389" t="s">
        <v>1666</v>
      </c>
      <c r="G939" s="385">
        <v>45548</v>
      </c>
      <c r="H939" s="367" t="s">
        <v>337</v>
      </c>
      <c r="I939" s="368" t="str">
        <f>VLOOKUP(H939,'[2]Source Codes'!A$2:B$115,2,FALSE)</f>
        <v>Facilities Mngmnt Intfc Jrnls</v>
      </c>
      <c r="J939" s="412">
        <v>-4109992.73</v>
      </c>
      <c r="K939" s="385">
        <v>45551</v>
      </c>
      <c r="L939" s="387" t="s">
        <v>1667</v>
      </c>
      <c r="M939" s="388">
        <v>45551.870462962965</v>
      </c>
      <c r="N939" s="368" t="s">
        <v>359</v>
      </c>
      <c r="O939" s="368" t="s">
        <v>367</v>
      </c>
    </row>
    <row r="940" spans="1:15" ht="12.75" customHeight="1" collapsed="1">
      <c r="J940" s="413">
        <v>-4109992.73</v>
      </c>
    </row>
    <row r="942" spans="1:15" ht="12.75" customHeight="1">
      <c r="A942" s="378" t="s">
        <v>1668</v>
      </c>
    </row>
    <row r="943" spans="1:15" ht="12.75" hidden="1" customHeight="1" outlineLevel="1">
      <c r="B943" s="384">
        <v>2025</v>
      </c>
      <c r="C943" s="384">
        <v>3</v>
      </c>
      <c r="D943" s="367" t="s">
        <v>5</v>
      </c>
      <c r="E943" s="367" t="s">
        <v>6</v>
      </c>
      <c r="F943" s="389" t="s">
        <v>1669</v>
      </c>
      <c r="G943" s="385">
        <v>45544</v>
      </c>
      <c r="H943" s="367" t="s">
        <v>337</v>
      </c>
      <c r="I943" s="368" t="str">
        <f>VLOOKUP(H943,'[2]Source Codes'!A$2:B$115,2,FALSE)</f>
        <v>Facilities Mngmnt Intfc Jrnls</v>
      </c>
      <c r="J943" s="412">
        <v>-1090776.02</v>
      </c>
      <c r="K943" s="385">
        <v>45552</v>
      </c>
      <c r="L943" s="387" t="s">
        <v>1654</v>
      </c>
      <c r="M943" s="388">
        <v>45552.870648148149</v>
      </c>
      <c r="N943" s="368" t="s">
        <v>359</v>
      </c>
      <c r="O943" s="368" t="s">
        <v>367</v>
      </c>
    </row>
    <row r="944" spans="1:15" ht="12.75" customHeight="1" collapsed="1">
      <c r="J944" s="413">
        <f>SUM(J943)</f>
        <v>-1090776.02</v>
      </c>
    </row>
    <row r="946" spans="1:15" ht="12.75" customHeight="1">
      <c r="A946" s="378" t="s">
        <v>1670</v>
      </c>
    </row>
    <row r="947" spans="1:15" ht="30" hidden="1" outlineLevel="1">
      <c r="B947" s="384">
        <v>2025</v>
      </c>
      <c r="C947" s="384">
        <v>3</v>
      </c>
      <c r="D947" s="367" t="s">
        <v>5</v>
      </c>
      <c r="E947" s="367" t="s">
        <v>6</v>
      </c>
      <c r="F947" s="389" t="s">
        <v>1671</v>
      </c>
      <c r="G947" s="385">
        <v>45551</v>
      </c>
      <c r="H947" s="367" t="s">
        <v>11</v>
      </c>
      <c r="I947" s="368" t="str">
        <f>VLOOKUP(H947,'[2]Source Codes'!A$2:B$115,2,FALSE)</f>
        <v>AR Payments</v>
      </c>
      <c r="J947" s="412">
        <v>1425055.8</v>
      </c>
      <c r="K947" s="385">
        <v>45553</v>
      </c>
      <c r="L947" s="387" t="s">
        <v>1675</v>
      </c>
      <c r="M947" s="388">
        <v>45553.751863425925</v>
      </c>
      <c r="N947" s="368" t="s">
        <v>359</v>
      </c>
      <c r="O947" s="368" t="s">
        <v>357</v>
      </c>
    </row>
    <row r="948" spans="1:15" ht="30" hidden="1" outlineLevel="1">
      <c r="B948" s="384">
        <v>2025</v>
      </c>
      <c r="C948" s="384">
        <v>3</v>
      </c>
      <c r="D948" s="367" t="s">
        <v>5</v>
      </c>
      <c r="E948" s="367" t="s">
        <v>6</v>
      </c>
      <c r="F948" s="389" t="s">
        <v>1672</v>
      </c>
      <c r="G948" s="385">
        <v>45546</v>
      </c>
      <c r="H948" s="367" t="s">
        <v>11</v>
      </c>
      <c r="I948" s="368" t="str">
        <f>VLOOKUP(H948,'[2]Source Codes'!A$2:B$115,2,FALSE)</f>
        <v>AR Payments</v>
      </c>
      <c r="J948" s="412">
        <v>2518641.0499999998</v>
      </c>
      <c r="K948" s="385">
        <v>45553</v>
      </c>
      <c r="L948" s="387" t="s">
        <v>1676</v>
      </c>
      <c r="M948" s="388">
        <v>45553.751863425925</v>
      </c>
      <c r="N948" s="368" t="s">
        <v>359</v>
      </c>
      <c r="O948" s="368" t="s">
        <v>357</v>
      </c>
    </row>
    <row r="949" spans="1:15" ht="30" hidden="1" outlineLevel="1">
      <c r="B949" s="384">
        <v>2025</v>
      </c>
      <c r="C949" s="384">
        <v>3</v>
      </c>
      <c r="D949" s="367" t="s">
        <v>5</v>
      </c>
      <c r="E949" s="367" t="s">
        <v>6</v>
      </c>
      <c r="F949" s="389" t="s">
        <v>1673</v>
      </c>
      <c r="G949" s="385">
        <v>45547</v>
      </c>
      <c r="H949" s="367" t="s">
        <v>9</v>
      </c>
      <c r="I949" s="368" t="str">
        <f>VLOOKUP(H949,'[2]Source Codes'!A$2:B$115,2,FALSE)</f>
        <v>On Line Journal Entries</v>
      </c>
      <c r="J949" s="412">
        <v>-28000000</v>
      </c>
      <c r="K949" s="385">
        <v>45553</v>
      </c>
      <c r="L949" s="387" t="s">
        <v>1674</v>
      </c>
      <c r="M949" s="388">
        <v>45553.555706018517</v>
      </c>
      <c r="N949" s="368" t="s">
        <v>387</v>
      </c>
      <c r="O949" s="368" t="s">
        <v>358</v>
      </c>
    </row>
    <row r="950" spans="1:15" ht="12.75" customHeight="1" collapsed="1">
      <c r="J950" s="413">
        <f>SUM(J947:J949)</f>
        <v>-24056303.149999999</v>
      </c>
    </row>
    <row r="952" spans="1:15" ht="12.75" customHeight="1">
      <c r="A952" s="378" t="s">
        <v>1677</v>
      </c>
    </row>
    <row r="953" spans="1:15" ht="60" hidden="1" outlineLevel="1">
      <c r="B953" s="384">
        <v>2025</v>
      </c>
      <c r="C953" s="384">
        <v>3</v>
      </c>
      <c r="D953" s="367" t="s">
        <v>5</v>
      </c>
      <c r="E953" s="367" t="s">
        <v>6</v>
      </c>
      <c r="F953" s="389" t="s">
        <v>1678</v>
      </c>
      <c r="G953" s="385">
        <v>45554</v>
      </c>
      <c r="H953" s="367" t="s">
        <v>12</v>
      </c>
      <c r="I953" s="368" t="str">
        <f>VLOOKUP(H953,'[2]Source Codes'!A$2:B$115,2,FALSE)</f>
        <v>AR Direct Cash Journal</v>
      </c>
      <c r="J953" s="412">
        <v>3919096.94</v>
      </c>
      <c r="K953" s="385">
        <v>45554</v>
      </c>
      <c r="L953" s="387" t="s">
        <v>1681</v>
      </c>
      <c r="M953" s="388">
        <v>45554.751979166664</v>
      </c>
      <c r="N953" s="368" t="s">
        <v>359</v>
      </c>
      <c r="O953" s="368" t="s">
        <v>370</v>
      </c>
    </row>
    <row r="954" spans="1:15" ht="30" hidden="1" outlineLevel="1">
      <c r="B954" s="384">
        <v>2025</v>
      </c>
      <c r="C954" s="384">
        <v>3</v>
      </c>
      <c r="D954" s="367" t="s">
        <v>5</v>
      </c>
      <c r="E954" s="367" t="s">
        <v>6</v>
      </c>
      <c r="F954" s="389" t="s">
        <v>1679</v>
      </c>
      <c r="G954" s="385">
        <v>45547</v>
      </c>
      <c r="H954" s="367" t="s">
        <v>12</v>
      </c>
      <c r="I954" s="368" t="str">
        <f>VLOOKUP(H954,'[2]Source Codes'!A$2:B$115,2,FALSE)</f>
        <v>AR Direct Cash Journal</v>
      </c>
      <c r="J954" s="412">
        <v>1672706.32</v>
      </c>
      <c r="K954" s="385">
        <v>45554</v>
      </c>
      <c r="L954" s="387" t="s">
        <v>1682</v>
      </c>
      <c r="M954" s="388">
        <v>45554.751979166664</v>
      </c>
      <c r="N954" s="368" t="s">
        <v>359</v>
      </c>
      <c r="O954" s="368" t="s">
        <v>370</v>
      </c>
    </row>
    <row r="955" spans="1:15" ht="30" hidden="1" outlineLevel="1">
      <c r="B955" s="384">
        <v>2025</v>
      </c>
      <c r="C955" s="384">
        <v>3</v>
      </c>
      <c r="D955" s="367" t="s">
        <v>5</v>
      </c>
      <c r="E955" s="367" t="s">
        <v>6</v>
      </c>
      <c r="F955" s="389" t="s">
        <v>1680</v>
      </c>
      <c r="G955" s="385">
        <v>45547</v>
      </c>
      <c r="H955" s="367" t="s">
        <v>11</v>
      </c>
      <c r="I955" s="368" t="str">
        <f>VLOOKUP(H955,'[2]Source Codes'!A$2:B$115,2,FALSE)</f>
        <v>AR Payments</v>
      </c>
      <c r="J955" s="412">
        <v>1265918.03</v>
      </c>
      <c r="K955" s="385">
        <v>45554</v>
      </c>
      <c r="L955" s="387" t="s">
        <v>1683</v>
      </c>
      <c r="M955" s="388">
        <v>45554.751979166664</v>
      </c>
      <c r="N955" s="368" t="s">
        <v>359</v>
      </c>
      <c r="O955" s="368" t="s">
        <v>362</v>
      </c>
    </row>
    <row r="956" spans="1:15" ht="12.75" customHeight="1" collapsed="1">
      <c r="I956" s="368"/>
      <c r="J956" s="413">
        <f>SUM(J953:J955)</f>
        <v>6857721.29</v>
      </c>
    </row>
    <row r="957" spans="1:15" ht="12.75" customHeight="1">
      <c r="I957" s="368"/>
    </row>
    <row r="958" spans="1:15" ht="12.75" customHeight="1">
      <c r="A958" s="378" t="s">
        <v>1684</v>
      </c>
      <c r="I958" s="368"/>
    </row>
    <row r="959" spans="1:15" ht="30" hidden="1" outlineLevel="2">
      <c r="B959" s="384">
        <v>2025</v>
      </c>
      <c r="C959" s="384">
        <v>3</v>
      </c>
      <c r="D959" s="367" t="s">
        <v>5</v>
      </c>
      <c r="E959" s="367" t="s">
        <v>6</v>
      </c>
      <c r="F959" s="389" t="s">
        <v>1685</v>
      </c>
      <c r="G959" s="385">
        <v>45552</v>
      </c>
      <c r="H959" s="367" t="s">
        <v>12</v>
      </c>
      <c r="I959" s="368" t="str">
        <f>VLOOKUP(H959,'[2]Source Codes'!A$2:B$115,2,FALSE)</f>
        <v>AR Direct Cash Journal</v>
      </c>
      <c r="J959" s="412">
        <v>7934815.8499999996</v>
      </c>
      <c r="K959" s="385">
        <v>45558</v>
      </c>
      <c r="L959" s="387" t="s">
        <v>1694</v>
      </c>
      <c r="M959" s="390">
        <v>45558.752199074072</v>
      </c>
      <c r="N959" s="368" t="s">
        <v>360</v>
      </c>
      <c r="O959" s="367" t="s">
        <v>362</v>
      </c>
    </row>
    <row r="960" spans="1:15" ht="30" hidden="1" outlineLevel="2">
      <c r="B960" s="384">
        <v>2025</v>
      </c>
      <c r="C960" s="384">
        <v>3</v>
      </c>
      <c r="D960" s="367" t="s">
        <v>5</v>
      </c>
      <c r="E960" s="367" t="s">
        <v>6</v>
      </c>
      <c r="F960" s="389" t="s">
        <v>1686</v>
      </c>
      <c r="G960" s="385">
        <v>45552</v>
      </c>
      <c r="H960" s="367" t="s">
        <v>11</v>
      </c>
      <c r="I960" s="368" t="str">
        <f>VLOOKUP(H960,'[2]Source Codes'!A$2:B$115,2,FALSE)</f>
        <v>AR Payments</v>
      </c>
      <c r="J960" s="412">
        <v>1226950.45</v>
      </c>
      <c r="K960" s="385">
        <v>45558</v>
      </c>
      <c r="L960" s="387" t="s">
        <v>505</v>
      </c>
      <c r="M960" s="390">
        <v>45558.752199074072</v>
      </c>
      <c r="N960" s="367" t="s">
        <v>356</v>
      </c>
      <c r="O960" s="367" t="s">
        <v>357</v>
      </c>
    </row>
    <row r="961" spans="1:15" ht="30" hidden="1" outlineLevel="2">
      <c r="B961" s="384">
        <v>2025</v>
      </c>
      <c r="C961" s="384">
        <v>3</v>
      </c>
      <c r="D961" s="367" t="s">
        <v>5</v>
      </c>
      <c r="E961" s="367" t="s">
        <v>6</v>
      </c>
      <c r="F961" s="389" t="s">
        <v>1687</v>
      </c>
      <c r="G961" s="385">
        <v>45554</v>
      </c>
      <c r="H961" s="367" t="s">
        <v>11</v>
      </c>
      <c r="I961" s="368" t="str">
        <f>VLOOKUP(H961,'[2]Source Codes'!A$2:B$115,2,FALSE)</f>
        <v>AR Payments</v>
      </c>
      <c r="J961" s="412">
        <v>1645210.33</v>
      </c>
      <c r="K961" s="385">
        <v>45558</v>
      </c>
      <c r="L961" s="387" t="s">
        <v>399</v>
      </c>
      <c r="M961" s="390">
        <v>45558.752199074072</v>
      </c>
      <c r="N961" s="367" t="s">
        <v>356</v>
      </c>
      <c r="O961" s="367" t="s">
        <v>357</v>
      </c>
    </row>
    <row r="962" spans="1:15" ht="75" hidden="1" outlineLevel="2">
      <c r="B962" s="384">
        <v>2025</v>
      </c>
      <c r="C962" s="384">
        <v>3</v>
      </c>
      <c r="D962" s="367" t="s">
        <v>5</v>
      </c>
      <c r="E962" s="367" t="s">
        <v>6</v>
      </c>
      <c r="F962" s="389" t="s">
        <v>1688</v>
      </c>
      <c r="G962" s="385">
        <v>45547</v>
      </c>
      <c r="H962" s="367" t="s">
        <v>9</v>
      </c>
      <c r="I962" s="368" t="str">
        <f>VLOOKUP(H962,'[2]Source Codes'!A$2:B$115,2,FALSE)</f>
        <v>On Line Journal Entries</v>
      </c>
      <c r="J962" s="412">
        <v>10510350.35</v>
      </c>
      <c r="K962" s="385">
        <v>45558</v>
      </c>
      <c r="L962" s="387" t="s">
        <v>339</v>
      </c>
      <c r="M962" s="390">
        <v>45558.870347222219</v>
      </c>
      <c r="N962" s="367" t="s">
        <v>356</v>
      </c>
      <c r="O962" s="367" t="s">
        <v>364</v>
      </c>
    </row>
    <row r="963" spans="1:15" ht="30" hidden="1" outlineLevel="2">
      <c r="B963" s="384">
        <v>2025</v>
      </c>
      <c r="C963" s="384">
        <v>3</v>
      </c>
      <c r="D963" s="367" t="s">
        <v>5</v>
      </c>
      <c r="E963" s="367" t="s">
        <v>6</v>
      </c>
      <c r="F963" s="389" t="s">
        <v>1689</v>
      </c>
      <c r="G963" s="385">
        <v>45547</v>
      </c>
      <c r="H963" s="367" t="s">
        <v>9</v>
      </c>
      <c r="I963" s="368" t="str">
        <f>VLOOKUP(H963,'[2]Source Codes'!A$2:B$115,2,FALSE)</f>
        <v>On Line Journal Entries</v>
      </c>
      <c r="J963" s="412">
        <v>8833746</v>
      </c>
      <c r="K963" s="385">
        <v>45558</v>
      </c>
      <c r="L963" s="387" t="s">
        <v>344</v>
      </c>
      <c r="M963" s="390">
        <v>45558.870347222219</v>
      </c>
      <c r="N963" s="367" t="s">
        <v>356</v>
      </c>
      <c r="O963" s="367" t="s">
        <v>364</v>
      </c>
    </row>
    <row r="964" spans="1:15" ht="30" hidden="1" outlineLevel="2">
      <c r="B964" s="384">
        <v>2025</v>
      </c>
      <c r="C964" s="384">
        <v>3</v>
      </c>
      <c r="D964" s="367" t="s">
        <v>5</v>
      </c>
      <c r="E964" s="367" t="s">
        <v>6</v>
      </c>
      <c r="F964" s="389" t="s">
        <v>1690</v>
      </c>
      <c r="G964" s="385">
        <v>45547</v>
      </c>
      <c r="H964" s="367" t="s">
        <v>9</v>
      </c>
      <c r="I964" s="368" t="str">
        <f>VLOOKUP(H964,'[2]Source Codes'!A$2:B$115,2,FALSE)</f>
        <v>On Line Journal Entries</v>
      </c>
      <c r="J964" s="412">
        <v>2925399</v>
      </c>
      <c r="K964" s="385">
        <v>45558</v>
      </c>
      <c r="L964" s="387" t="s">
        <v>344</v>
      </c>
      <c r="M964" s="390">
        <v>45558.870347222219</v>
      </c>
      <c r="N964" s="367" t="s">
        <v>356</v>
      </c>
      <c r="O964" s="367" t="s">
        <v>364</v>
      </c>
    </row>
    <row r="965" spans="1:15" ht="15" hidden="1" outlineLevel="2">
      <c r="B965" s="384">
        <v>2025</v>
      </c>
      <c r="C965" s="384">
        <v>3</v>
      </c>
      <c r="D965" s="367" t="s">
        <v>5</v>
      </c>
      <c r="E965" s="367" t="s">
        <v>6</v>
      </c>
      <c r="F965" s="389" t="s">
        <v>1691</v>
      </c>
      <c r="G965" s="385">
        <v>45553</v>
      </c>
      <c r="H965" s="367" t="s">
        <v>7</v>
      </c>
      <c r="I965" s="368" t="str">
        <f>VLOOKUP(H965,'[2]Source Codes'!A$2:B$115,2,FALSE)</f>
        <v>HRMS Interface Journals</v>
      </c>
      <c r="J965" s="412">
        <v>-2362858.35</v>
      </c>
      <c r="K965" s="385">
        <v>45558</v>
      </c>
      <c r="L965" s="387" t="s">
        <v>350</v>
      </c>
      <c r="M965" s="390">
        <v>45558.438298611109</v>
      </c>
      <c r="N965" s="367" t="s">
        <v>378</v>
      </c>
      <c r="O965" s="367" t="s">
        <v>379</v>
      </c>
    </row>
    <row r="966" spans="1:15" ht="15" hidden="1" outlineLevel="2">
      <c r="B966" s="384">
        <v>2025</v>
      </c>
      <c r="C966" s="384">
        <v>3</v>
      </c>
      <c r="D966" s="367" t="s">
        <v>5</v>
      </c>
      <c r="E966" s="367" t="s">
        <v>6</v>
      </c>
      <c r="F966" s="389" t="s">
        <v>1692</v>
      </c>
      <c r="G966" s="385">
        <v>45553</v>
      </c>
      <c r="H966" s="367" t="s">
        <v>7</v>
      </c>
      <c r="I966" s="368" t="str">
        <f>VLOOKUP(H966,'[2]Source Codes'!A$2:B$115,2,FALSE)</f>
        <v>HRMS Interface Journals</v>
      </c>
      <c r="J966" s="412">
        <v>-10598852.1</v>
      </c>
      <c r="K966" s="385">
        <v>45558</v>
      </c>
      <c r="L966" s="387" t="s">
        <v>349</v>
      </c>
      <c r="M966" s="390">
        <v>45558.384155092594</v>
      </c>
      <c r="N966" s="367" t="s">
        <v>378</v>
      </c>
      <c r="O966" s="367" t="s">
        <v>379</v>
      </c>
    </row>
    <row r="967" spans="1:15" ht="15" hidden="1" outlineLevel="2">
      <c r="B967" s="384">
        <v>2025</v>
      </c>
      <c r="C967" s="384">
        <v>3</v>
      </c>
      <c r="D967" s="367" t="s">
        <v>5</v>
      </c>
      <c r="E967" s="367" t="s">
        <v>6</v>
      </c>
      <c r="F967" s="389" t="s">
        <v>1693</v>
      </c>
      <c r="G967" s="385">
        <v>45553</v>
      </c>
      <c r="H967" s="367" t="s">
        <v>7</v>
      </c>
      <c r="I967" s="368" t="str">
        <f>VLOOKUP(H967,'[2]Source Codes'!A$2:B$115,2,FALSE)</f>
        <v>HRMS Interface Journals</v>
      </c>
      <c r="J967" s="412">
        <v>-68277767.280000001</v>
      </c>
      <c r="K967" s="385">
        <v>45558</v>
      </c>
      <c r="L967" s="387" t="s">
        <v>348</v>
      </c>
      <c r="M967" s="390">
        <v>45558.440057870372</v>
      </c>
      <c r="N967" s="367" t="s">
        <v>378</v>
      </c>
      <c r="O967" s="367" t="s">
        <v>379</v>
      </c>
    </row>
    <row r="968" spans="1:15" ht="12.75" customHeight="1" collapsed="1">
      <c r="B968" s="384"/>
      <c r="C968" s="384"/>
      <c r="D968" s="367"/>
      <c r="E968" s="367"/>
      <c r="F968" s="389"/>
      <c r="G968" s="385"/>
      <c r="H968" s="367"/>
      <c r="I968" s="368"/>
      <c r="J968" s="415">
        <f>SUM(J959:J967)</f>
        <v>-48163005.750000007</v>
      </c>
      <c r="K968" s="385"/>
      <c r="L968" s="387"/>
      <c r="M968" s="388"/>
      <c r="N968" s="380"/>
      <c r="O968" s="380"/>
    </row>
    <row r="969" spans="1:15" ht="12.75" customHeight="1">
      <c r="J969" s="416"/>
      <c r="N969" s="380"/>
      <c r="O969" s="380"/>
    </row>
    <row r="970" spans="1:15" ht="12.75" customHeight="1">
      <c r="A970" s="378" t="s">
        <v>1695</v>
      </c>
      <c r="N970" s="380"/>
      <c r="O970" s="380"/>
    </row>
    <row r="971" spans="1:15" ht="15" hidden="1" outlineLevel="1">
      <c r="B971" s="384">
        <v>2025</v>
      </c>
      <c r="C971" s="384">
        <v>3</v>
      </c>
      <c r="D971" s="367" t="s">
        <v>5</v>
      </c>
      <c r="E971" s="367" t="s">
        <v>6</v>
      </c>
      <c r="F971" s="389" t="s">
        <v>1696</v>
      </c>
      <c r="G971" s="385">
        <v>45559</v>
      </c>
      <c r="H971" s="367" t="s">
        <v>12</v>
      </c>
      <c r="I971" s="368" t="str">
        <f>VLOOKUP(H971,'[2]Source Codes'!A$2:B$115,2,FALSE)</f>
        <v>AR Direct Cash Journal</v>
      </c>
      <c r="J971" s="412">
        <v>3222024.07</v>
      </c>
      <c r="K971" s="385">
        <v>45559</v>
      </c>
      <c r="L971" s="387" t="s">
        <v>345</v>
      </c>
      <c r="M971" s="390">
        <v>45559.751886574071</v>
      </c>
      <c r="N971" s="367" t="s">
        <v>356</v>
      </c>
      <c r="O971" s="367" t="s">
        <v>371</v>
      </c>
    </row>
    <row r="972" spans="1:15" ht="75" hidden="1" outlineLevel="1">
      <c r="B972" s="384">
        <v>2025</v>
      </c>
      <c r="C972" s="384">
        <v>3</v>
      </c>
      <c r="D972" s="367" t="s">
        <v>5</v>
      </c>
      <c r="E972" s="367" t="s">
        <v>6</v>
      </c>
      <c r="F972" s="389" t="s">
        <v>1697</v>
      </c>
      <c r="G972" s="385">
        <v>45551</v>
      </c>
      <c r="H972" s="367" t="s">
        <v>12</v>
      </c>
      <c r="I972" s="368" t="str">
        <f>VLOOKUP(H972,'[2]Source Codes'!A$2:B$115,2,FALSE)</f>
        <v>AR Direct Cash Journal</v>
      </c>
      <c r="J972" s="412">
        <v>9990399.6600000001</v>
      </c>
      <c r="K972" s="385">
        <v>45559</v>
      </c>
      <c r="L972" s="387" t="s">
        <v>1705</v>
      </c>
      <c r="M972" s="390">
        <v>45559.751886574071</v>
      </c>
      <c r="N972" s="367" t="s">
        <v>361</v>
      </c>
      <c r="O972" s="367" t="s">
        <v>368</v>
      </c>
    </row>
    <row r="973" spans="1:15" ht="30" hidden="1" outlineLevel="1">
      <c r="B973" s="384">
        <v>2025</v>
      </c>
      <c r="C973" s="384">
        <v>3</v>
      </c>
      <c r="D973" s="367" t="s">
        <v>5</v>
      </c>
      <c r="E973" s="367" t="s">
        <v>6</v>
      </c>
      <c r="F973" s="389" t="s">
        <v>1698</v>
      </c>
      <c r="G973" s="385">
        <v>45559</v>
      </c>
      <c r="H973" s="367" t="s">
        <v>11</v>
      </c>
      <c r="I973" s="368" t="str">
        <f>VLOOKUP(H973,'[2]Source Codes'!A$2:B$115,2,FALSE)</f>
        <v>AR Payments</v>
      </c>
      <c r="J973" s="412">
        <v>1395398.09</v>
      </c>
      <c r="K973" s="385">
        <v>45559</v>
      </c>
      <c r="L973" s="387" t="s">
        <v>394</v>
      </c>
      <c r="M973" s="390">
        <v>45559.751886574071</v>
      </c>
      <c r="N973" s="367" t="s">
        <v>356</v>
      </c>
      <c r="O973" s="367" t="s">
        <v>357</v>
      </c>
    </row>
    <row r="974" spans="1:15" ht="30" hidden="1" outlineLevel="1">
      <c r="B974" s="384">
        <v>2025</v>
      </c>
      <c r="C974" s="384">
        <v>3</v>
      </c>
      <c r="D974" s="367" t="s">
        <v>5</v>
      </c>
      <c r="E974" s="367" t="s">
        <v>6</v>
      </c>
      <c r="F974" s="389" t="s">
        <v>1699</v>
      </c>
      <c r="G974" s="385">
        <v>45559</v>
      </c>
      <c r="H974" s="367" t="s">
        <v>9</v>
      </c>
      <c r="I974" s="368" t="str">
        <f>VLOOKUP(H974,'[2]Source Codes'!A$2:B$115,2,FALSE)</f>
        <v>On Line Journal Entries</v>
      </c>
      <c r="J974" s="412">
        <v>55610047.770000003</v>
      </c>
      <c r="K974" s="385">
        <v>45559</v>
      </c>
      <c r="L974" s="387" t="s">
        <v>1716</v>
      </c>
      <c r="M974" s="390">
        <v>45559.701597222222</v>
      </c>
      <c r="N974" s="367" t="s">
        <v>387</v>
      </c>
      <c r="O974" s="367" t="s">
        <v>371</v>
      </c>
    </row>
    <row r="975" spans="1:15" ht="30" hidden="1" outlineLevel="1">
      <c r="B975" s="384">
        <v>2025</v>
      </c>
      <c r="C975" s="384">
        <v>3</v>
      </c>
      <c r="D975" s="367" t="s">
        <v>5</v>
      </c>
      <c r="E975" s="367" t="s">
        <v>6</v>
      </c>
      <c r="F975" s="389" t="s">
        <v>1700</v>
      </c>
      <c r="G975" s="385">
        <v>45558</v>
      </c>
      <c r="H975" s="367" t="s">
        <v>9</v>
      </c>
      <c r="I975" s="368" t="str">
        <f>VLOOKUP(H975,'[2]Source Codes'!A$2:B$115,2,FALSE)</f>
        <v>On Line Journal Entries</v>
      </c>
      <c r="J975" s="412">
        <v>6177741</v>
      </c>
      <c r="K975" s="385">
        <v>45559</v>
      </c>
      <c r="L975" s="387" t="s">
        <v>1706</v>
      </c>
      <c r="M975" s="390">
        <v>45559.663495370369</v>
      </c>
      <c r="N975" s="367" t="s">
        <v>356</v>
      </c>
      <c r="O975" s="367" t="s">
        <v>369</v>
      </c>
    </row>
    <row r="976" spans="1:15" ht="60" hidden="1" outlineLevel="1">
      <c r="B976" s="384">
        <v>2025</v>
      </c>
      <c r="C976" s="384">
        <v>3</v>
      </c>
      <c r="D976" s="367" t="s">
        <v>5</v>
      </c>
      <c r="E976" s="367" t="s">
        <v>6</v>
      </c>
      <c r="F976" s="389" t="s">
        <v>1701</v>
      </c>
      <c r="G976" s="385">
        <v>45548</v>
      </c>
      <c r="H976" s="367" t="s">
        <v>9</v>
      </c>
      <c r="I976" s="368" t="str">
        <f>VLOOKUP(H976,'[2]Source Codes'!A$2:B$115,2,FALSE)</f>
        <v>On Line Journal Entries</v>
      </c>
      <c r="J976" s="412">
        <v>2402968.5</v>
      </c>
      <c r="K976" s="385">
        <v>45559</v>
      </c>
      <c r="L976" s="387" t="s">
        <v>347</v>
      </c>
      <c r="M976" s="390">
        <v>45559.870023148149</v>
      </c>
      <c r="N976" s="367" t="s">
        <v>361</v>
      </c>
      <c r="O976" s="367" t="s">
        <v>381</v>
      </c>
    </row>
    <row r="977" spans="1:15" ht="15" hidden="1" outlineLevel="1">
      <c r="B977" s="384">
        <v>2025</v>
      </c>
      <c r="C977" s="384">
        <v>3</v>
      </c>
      <c r="D977" s="367" t="s">
        <v>5</v>
      </c>
      <c r="E977" s="367" t="s">
        <v>6</v>
      </c>
      <c r="F977" s="389" t="s">
        <v>1702</v>
      </c>
      <c r="G977" s="385">
        <v>45544</v>
      </c>
      <c r="H977" s="367" t="s">
        <v>8</v>
      </c>
      <c r="I977" s="368" t="str">
        <f>VLOOKUP(H977,'[2]Source Codes'!A$2:B$115,2,FALSE)</f>
        <v>Prch,Cntrl Mail,Flt,Prntg,Sply</v>
      </c>
      <c r="J977" s="412">
        <v>-2245178.1800000002</v>
      </c>
      <c r="K977" s="385">
        <v>45559</v>
      </c>
      <c r="L977" s="387" t="s">
        <v>1717</v>
      </c>
      <c r="M977" s="390">
        <v>45559.688194444447</v>
      </c>
      <c r="N977" s="367" t="s">
        <v>356</v>
      </c>
      <c r="O977" s="367" t="s">
        <v>382</v>
      </c>
    </row>
    <row r="978" spans="1:15" ht="15" hidden="1" outlineLevel="1">
      <c r="B978" s="384">
        <v>2025</v>
      </c>
      <c r="C978" s="384">
        <v>3</v>
      </c>
      <c r="D978" s="367" t="s">
        <v>5</v>
      </c>
      <c r="E978" s="367" t="s">
        <v>6</v>
      </c>
      <c r="F978" s="389" t="s">
        <v>1703</v>
      </c>
      <c r="G978" s="385">
        <v>45555</v>
      </c>
      <c r="H978" s="367" t="s">
        <v>337</v>
      </c>
      <c r="I978" s="368" t="str">
        <f>VLOOKUP(H978,'[2]Source Codes'!A$2:B$115,2,FALSE)</f>
        <v>Facilities Mngmnt Intfc Jrnls</v>
      </c>
      <c r="J978" s="412">
        <v>-2249942.7599999998</v>
      </c>
      <c r="K978" s="385">
        <v>45559</v>
      </c>
      <c r="L978" s="387" t="s">
        <v>1718</v>
      </c>
      <c r="M978" s="390">
        <v>45559.870092592595</v>
      </c>
      <c r="N978" s="367" t="s">
        <v>356</v>
      </c>
      <c r="O978" s="367" t="s">
        <v>367</v>
      </c>
    </row>
    <row r="979" spans="1:15" ht="30" hidden="1" outlineLevel="1">
      <c r="B979" s="384">
        <v>2025</v>
      </c>
      <c r="C979" s="384">
        <v>3</v>
      </c>
      <c r="D979" s="367" t="s">
        <v>5</v>
      </c>
      <c r="E979" s="367" t="s">
        <v>6</v>
      </c>
      <c r="F979" s="389" t="s">
        <v>1704</v>
      </c>
      <c r="G979" s="385">
        <v>45554</v>
      </c>
      <c r="H979" s="367" t="s">
        <v>9</v>
      </c>
      <c r="I979" s="368" t="str">
        <f>VLOOKUP(H979,'[2]Source Codes'!A$2:B$115,2,FALSE)</f>
        <v>On Line Journal Entries</v>
      </c>
      <c r="J979" s="412">
        <v>-4701016</v>
      </c>
      <c r="K979" s="385">
        <v>45559</v>
      </c>
      <c r="L979" s="387" t="s">
        <v>1719</v>
      </c>
      <c r="M979" s="390">
        <v>45559.870023148149</v>
      </c>
      <c r="N979" s="367" t="s">
        <v>507</v>
      </c>
      <c r="O979" s="367" t="s">
        <v>367</v>
      </c>
    </row>
    <row r="980" spans="1:15" ht="12.75" customHeight="1" collapsed="1">
      <c r="J980" s="413">
        <f>SUM(J971:J979)</f>
        <v>69602442.149999991</v>
      </c>
    </row>
    <row r="982" spans="1:15" ht="13.35" customHeight="1">
      <c r="A982" s="378" t="s">
        <v>1707</v>
      </c>
    </row>
    <row r="983" spans="1:15" ht="15" hidden="1" outlineLevel="1">
      <c r="B983" s="384">
        <v>2025</v>
      </c>
      <c r="C983" s="384">
        <v>3</v>
      </c>
      <c r="D983" s="367" t="s">
        <v>5</v>
      </c>
      <c r="E983" s="367" t="s">
        <v>6</v>
      </c>
      <c r="F983" s="389" t="s">
        <v>1708</v>
      </c>
      <c r="G983" s="385">
        <v>45560</v>
      </c>
      <c r="H983" s="367" t="s">
        <v>14</v>
      </c>
      <c r="I983" s="368" t="str">
        <f>VLOOKUP(H983,'[2]Source Codes'!A$2:B$115,2,FALSE)</f>
        <v>AP Warrant Issuance</v>
      </c>
      <c r="J983" s="412">
        <v>-1510257.81</v>
      </c>
      <c r="K983" s="385">
        <v>45560</v>
      </c>
      <c r="L983" s="387" t="s">
        <v>1715</v>
      </c>
      <c r="M983" s="390">
        <v>45560.79378472222</v>
      </c>
      <c r="N983" s="367" t="s">
        <v>360</v>
      </c>
      <c r="O983" s="367" t="s">
        <v>375</v>
      </c>
    </row>
    <row r="984" spans="1:15" ht="30" hidden="1" outlineLevel="1">
      <c r="B984" s="384">
        <v>2025</v>
      </c>
      <c r="C984" s="384">
        <v>3</v>
      </c>
      <c r="D984" s="367" t="s">
        <v>5</v>
      </c>
      <c r="E984" s="367" t="s">
        <v>6</v>
      </c>
      <c r="F984" s="389" t="s">
        <v>1709</v>
      </c>
      <c r="G984" s="385">
        <v>45558</v>
      </c>
      <c r="H984" s="367" t="s">
        <v>12</v>
      </c>
      <c r="I984" s="368" t="str">
        <f>VLOOKUP(H984,'[2]Source Codes'!A$2:B$115,2,FALSE)</f>
        <v>AR Direct Cash Journal</v>
      </c>
      <c r="J984" s="412">
        <v>1177820.96</v>
      </c>
      <c r="K984" s="385">
        <v>45560</v>
      </c>
      <c r="L984" s="387" t="s">
        <v>1720</v>
      </c>
      <c r="M984" s="390">
        <v>45560.751805555556</v>
      </c>
      <c r="N984" s="367" t="s">
        <v>356</v>
      </c>
      <c r="O984" s="367" t="s">
        <v>370</v>
      </c>
    </row>
    <row r="985" spans="1:15" ht="30" hidden="1" outlineLevel="1">
      <c r="B985" s="384">
        <v>2025</v>
      </c>
      <c r="C985" s="384">
        <v>3</v>
      </c>
      <c r="D985" s="367" t="s">
        <v>5</v>
      </c>
      <c r="E985" s="367" t="s">
        <v>6</v>
      </c>
      <c r="F985" s="389" t="s">
        <v>1710</v>
      </c>
      <c r="G985" s="385">
        <v>45559</v>
      </c>
      <c r="H985" s="367" t="s">
        <v>12</v>
      </c>
      <c r="I985" s="368" t="str">
        <f>VLOOKUP(H985,'[2]Source Codes'!A$2:B$115,2,FALSE)</f>
        <v>AR Direct Cash Journal</v>
      </c>
      <c r="J985" s="412">
        <v>1286304.92</v>
      </c>
      <c r="K985" s="385">
        <v>45560</v>
      </c>
      <c r="L985" s="387" t="s">
        <v>1721</v>
      </c>
      <c r="M985" s="390">
        <v>45560.751805555556</v>
      </c>
      <c r="N985" s="367" t="s">
        <v>356</v>
      </c>
      <c r="O985" s="367" t="s">
        <v>370</v>
      </c>
    </row>
    <row r="986" spans="1:15" ht="30" hidden="1" outlineLevel="1">
      <c r="B986" s="384">
        <v>2025</v>
      </c>
      <c r="C986" s="384">
        <v>3</v>
      </c>
      <c r="D986" s="367" t="s">
        <v>5</v>
      </c>
      <c r="E986" s="367" t="s">
        <v>6</v>
      </c>
      <c r="F986" s="389" t="s">
        <v>1711</v>
      </c>
      <c r="G986" s="385">
        <v>45555</v>
      </c>
      <c r="H986" s="367" t="s">
        <v>12</v>
      </c>
      <c r="I986" s="368" t="str">
        <f>VLOOKUP(H986,'[2]Source Codes'!A$2:B$115,2,FALSE)</f>
        <v>AR Direct Cash Journal</v>
      </c>
      <c r="J986" s="412">
        <v>3223375.69</v>
      </c>
      <c r="K986" s="385">
        <v>45560</v>
      </c>
      <c r="L986" s="387" t="s">
        <v>1722</v>
      </c>
      <c r="M986" s="390">
        <v>45560.751805555556</v>
      </c>
      <c r="N986" s="367" t="s">
        <v>356</v>
      </c>
      <c r="O986" s="367" t="s">
        <v>370</v>
      </c>
    </row>
    <row r="987" spans="1:15" ht="30" hidden="1" outlineLevel="1">
      <c r="B987" s="384">
        <v>2025</v>
      </c>
      <c r="C987" s="384">
        <v>3</v>
      </c>
      <c r="D987" s="367" t="s">
        <v>5</v>
      </c>
      <c r="E987" s="367" t="s">
        <v>6</v>
      </c>
      <c r="F987" s="389" t="s">
        <v>1712</v>
      </c>
      <c r="G987" s="385">
        <v>45554</v>
      </c>
      <c r="H987" s="367" t="s">
        <v>12</v>
      </c>
      <c r="I987" s="368" t="str">
        <f>VLOOKUP(H987,'[2]Source Codes'!A$2:B$115,2,FALSE)</f>
        <v>AR Direct Cash Journal</v>
      </c>
      <c r="J987" s="412">
        <v>6475388.2199999997</v>
      </c>
      <c r="K987" s="385">
        <v>45560</v>
      </c>
      <c r="L987" s="387" t="s">
        <v>1723</v>
      </c>
      <c r="M987" s="390">
        <v>45560.751805555556</v>
      </c>
      <c r="N987" s="367" t="s">
        <v>356</v>
      </c>
      <c r="O987" s="367" t="s">
        <v>370</v>
      </c>
    </row>
    <row r="988" spans="1:15" ht="30" hidden="1" outlineLevel="1">
      <c r="B988" s="384">
        <v>2025</v>
      </c>
      <c r="C988" s="384">
        <v>3</v>
      </c>
      <c r="D988" s="367" t="s">
        <v>5</v>
      </c>
      <c r="E988" s="367" t="s">
        <v>6</v>
      </c>
      <c r="F988" s="389" t="s">
        <v>1713</v>
      </c>
      <c r="G988" s="385">
        <v>45560</v>
      </c>
      <c r="H988" s="367" t="s">
        <v>12</v>
      </c>
      <c r="I988" s="368" t="str">
        <f>VLOOKUP(H988,'[2]Source Codes'!A$2:B$115,2,FALSE)</f>
        <v>AR Direct Cash Journal</v>
      </c>
      <c r="J988" s="412">
        <v>57015519.509999998</v>
      </c>
      <c r="K988" s="385">
        <v>45560</v>
      </c>
      <c r="L988" s="387" t="s">
        <v>1724</v>
      </c>
      <c r="M988" s="390">
        <v>45560.751805555556</v>
      </c>
      <c r="N988" s="367" t="s">
        <v>361</v>
      </c>
      <c r="O988" s="367" t="s">
        <v>368</v>
      </c>
    </row>
    <row r="989" spans="1:15" ht="30" hidden="1" outlineLevel="1">
      <c r="B989" s="384">
        <v>2025</v>
      </c>
      <c r="C989" s="384">
        <v>3</v>
      </c>
      <c r="D989" s="367" t="s">
        <v>5</v>
      </c>
      <c r="E989" s="367" t="s">
        <v>6</v>
      </c>
      <c r="F989" s="389" t="s">
        <v>1714</v>
      </c>
      <c r="G989" s="385">
        <v>45553</v>
      </c>
      <c r="H989" s="367" t="s">
        <v>9</v>
      </c>
      <c r="I989" s="368" t="str">
        <f>VLOOKUP(H989,'[2]Source Codes'!A$2:B$115,2,FALSE)</f>
        <v>On Line Journal Entries</v>
      </c>
      <c r="J989" s="412">
        <v>1086692.73</v>
      </c>
      <c r="K989" s="385">
        <v>45560</v>
      </c>
      <c r="L989" s="387" t="s">
        <v>1725</v>
      </c>
      <c r="M989" s="390">
        <v>45560.870266203703</v>
      </c>
      <c r="N989" s="367" t="s">
        <v>361</v>
      </c>
      <c r="O989" s="367" t="s">
        <v>510</v>
      </c>
    </row>
    <row r="990" spans="1:15" ht="12.75" customHeight="1" collapsed="1">
      <c r="J990" s="413">
        <f>SUM(J983:J989)</f>
        <v>68754844.219999999</v>
      </c>
    </row>
    <row r="992" spans="1:15" ht="12.75" customHeight="1">
      <c r="A992" s="378" t="s">
        <v>1726</v>
      </c>
    </row>
    <row r="993" spans="1:15" ht="30" hidden="1" outlineLevel="1">
      <c r="B993" s="384">
        <v>2025</v>
      </c>
      <c r="C993" s="384">
        <v>3</v>
      </c>
      <c r="D993" s="367" t="s">
        <v>5</v>
      </c>
      <c r="E993" s="367" t="s">
        <v>6</v>
      </c>
      <c r="F993" s="389" t="s">
        <v>1727</v>
      </c>
      <c r="G993" s="385">
        <v>45559</v>
      </c>
      <c r="H993" s="367" t="s">
        <v>11</v>
      </c>
      <c r="I993" s="368" t="str">
        <f>VLOOKUP(H993,'[2]Source Codes'!A$2:B$115,2,FALSE)</f>
        <v>AR Payments</v>
      </c>
      <c r="J993" s="412">
        <v>1090621.78</v>
      </c>
      <c r="K993" s="385">
        <v>45561</v>
      </c>
      <c r="L993" s="387" t="s">
        <v>1733</v>
      </c>
      <c r="M993" s="390">
        <v>45561.752337962964</v>
      </c>
      <c r="N993" s="367" t="s">
        <v>356</v>
      </c>
      <c r="O993" s="367" t="s">
        <v>357</v>
      </c>
    </row>
    <row r="994" spans="1:15" ht="30" hidden="1" outlineLevel="1">
      <c r="B994" s="384">
        <v>2025</v>
      </c>
      <c r="C994" s="384">
        <v>3</v>
      </c>
      <c r="D994" s="367" t="s">
        <v>5</v>
      </c>
      <c r="E994" s="367" t="s">
        <v>6</v>
      </c>
      <c r="F994" s="389" t="s">
        <v>1728</v>
      </c>
      <c r="G994" s="385">
        <v>45561</v>
      </c>
      <c r="H994" s="367" t="s">
        <v>11</v>
      </c>
      <c r="I994" s="368" t="str">
        <f>VLOOKUP(H994,'[2]Source Codes'!A$2:B$115,2,FALSE)</f>
        <v>AR Payments</v>
      </c>
      <c r="J994" s="412">
        <v>3294905.47</v>
      </c>
      <c r="K994" s="385">
        <v>45561</v>
      </c>
      <c r="L994" s="387" t="s">
        <v>393</v>
      </c>
      <c r="M994" s="390">
        <v>45561.752337962964</v>
      </c>
      <c r="N994" s="367" t="s">
        <v>356</v>
      </c>
      <c r="O994" s="367" t="s">
        <v>357</v>
      </c>
    </row>
    <row r="995" spans="1:15" ht="30" hidden="1" outlineLevel="1">
      <c r="B995" s="384">
        <v>2025</v>
      </c>
      <c r="C995" s="384">
        <v>3</v>
      </c>
      <c r="D995" s="367" t="s">
        <v>5</v>
      </c>
      <c r="E995" s="367" t="s">
        <v>6</v>
      </c>
      <c r="F995" s="389" t="s">
        <v>1729</v>
      </c>
      <c r="G995" s="385">
        <v>45559</v>
      </c>
      <c r="H995" s="367" t="s">
        <v>9</v>
      </c>
      <c r="I995" s="368" t="str">
        <f>VLOOKUP(H995,'[2]Source Codes'!A$2:B$115,2,FALSE)</f>
        <v>On Line Journal Entries</v>
      </c>
      <c r="J995" s="412">
        <v>2007172</v>
      </c>
      <c r="K995" s="385">
        <v>45561</v>
      </c>
      <c r="L995" s="387" t="s">
        <v>1730</v>
      </c>
      <c r="M995" s="390">
        <v>45561.870300925926</v>
      </c>
      <c r="N995" s="367" t="s">
        <v>361</v>
      </c>
      <c r="O995" s="367" t="s">
        <v>380</v>
      </c>
    </row>
    <row r="996" spans="1:15" ht="30" hidden="1" outlineLevel="1">
      <c r="B996" s="384">
        <v>2025</v>
      </c>
      <c r="C996" s="384">
        <v>3</v>
      </c>
      <c r="D996" s="367" t="s">
        <v>5</v>
      </c>
      <c r="E996" s="367" t="s">
        <v>6</v>
      </c>
      <c r="F996" s="389" t="s">
        <v>1731</v>
      </c>
      <c r="G996" s="385">
        <v>45538</v>
      </c>
      <c r="H996" s="367" t="s">
        <v>9</v>
      </c>
      <c r="I996" s="368" t="str">
        <f>VLOOKUP(H996,'[2]Source Codes'!A$2:B$115,2,FALSE)</f>
        <v>On Line Journal Entries</v>
      </c>
      <c r="J996" s="412">
        <v>-1121488.49</v>
      </c>
      <c r="K996" s="385">
        <v>45561</v>
      </c>
      <c r="L996" s="387" t="s">
        <v>1732</v>
      </c>
      <c r="M996" s="390">
        <v>45561.870300925926</v>
      </c>
      <c r="N996" s="367" t="s">
        <v>361</v>
      </c>
      <c r="O996" s="367" t="s">
        <v>510</v>
      </c>
    </row>
    <row r="997" spans="1:15" ht="12.75" customHeight="1" collapsed="1">
      <c r="J997" s="413">
        <f>SUM(J993:J996)</f>
        <v>5271210.76</v>
      </c>
    </row>
    <row r="999" spans="1:15" ht="12.75" customHeight="1">
      <c r="A999" s="378" t="s">
        <v>1734</v>
      </c>
    </row>
    <row r="1000" spans="1:15" ht="30" hidden="1" outlineLevel="1">
      <c r="B1000" s="384">
        <v>2025</v>
      </c>
      <c r="C1000" s="384">
        <v>4</v>
      </c>
      <c r="D1000" s="367" t="s">
        <v>5</v>
      </c>
      <c r="E1000" s="367" t="s">
        <v>6</v>
      </c>
      <c r="F1000" s="389" t="s">
        <v>1735</v>
      </c>
      <c r="G1000" s="385">
        <v>45566</v>
      </c>
      <c r="H1000" s="367" t="s">
        <v>14</v>
      </c>
      <c r="I1000" s="368" t="str">
        <f>VLOOKUP(H1000,'[2]Source Codes'!A$2:B$115,2,FALSE)</f>
        <v>AP Warrant Issuance</v>
      </c>
      <c r="J1000" s="412">
        <v>-1389024</v>
      </c>
      <c r="K1000" s="385">
        <v>45562</v>
      </c>
      <c r="L1000" s="387" t="s">
        <v>1746</v>
      </c>
      <c r="M1000" s="390">
        <v>45562.79347222222</v>
      </c>
      <c r="N1000" s="367" t="s">
        <v>356</v>
      </c>
      <c r="O1000" s="367" t="s">
        <v>368</v>
      </c>
    </row>
    <row r="1001" spans="1:15" ht="30" hidden="1" outlineLevel="1">
      <c r="B1001" s="384">
        <v>2025</v>
      </c>
      <c r="C1001" s="384">
        <v>3</v>
      </c>
      <c r="D1001" s="367" t="s">
        <v>5</v>
      </c>
      <c r="E1001" s="367" t="s">
        <v>6</v>
      </c>
      <c r="F1001" s="389" t="s">
        <v>1736</v>
      </c>
      <c r="G1001" s="385">
        <v>45562</v>
      </c>
      <c r="H1001" s="367" t="s">
        <v>12</v>
      </c>
      <c r="I1001" s="368" t="str">
        <f>VLOOKUP(H1001,'[2]Source Codes'!A$2:B$115,2,FALSE)</f>
        <v>AR Direct Cash Journal</v>
      </c>
      <c r="J1001" s="412">
        <v>1070316.1599999999</v>
      </c>
      <c r="K1001" s="385">
        <v>45562</v>
      </c>
      <c r="L1001" s="387" t="s">
        <v>1820</v>
      </c>
      <c r="M1001" s="390">
        <v>45562.751932870371</v>
      </c>
      <c r="N1001" s="367" t="s">
        <v>356</v>
      </c>
      <c r="O1001" s="367" t="s">
        <v>362</v>
      </c>
    </row>
    <row r="1002" spans="1:15" ht="30" hidden="1" outlineLevel="1">
      <c r="B1002" s="384">
        <v>2025</v>
      </c>
      <c r="C1002" s="384">
        <v>3</v>
      </c>
      <c r="D1002" s="367" t="s">
        <v>5</v>
      </c>
      <c r="E1002" s="367" t="s">
        <v>6</v>
      </c>
      <c r="F1002" s="389" t="s">
        <v>1737</v>
      </c>
      <c r="G1002" s="385">
        <v>45560</v>
      </c>
      <c r="H1002" s="367" t="s">
        <v>9</v>
      </c>
      <c r="I1002" s="368" t="str">
        <f>VLOOKUP(H1002,'[2]Source Codes'!A$2:B$115,2,FALSE)</f>
        <v>On Line Journal Entries</v>
      </c>
      <c r="J1002" s="412">
        <v>32393043</v>
      </c>
      <c r="K1002" s="385">
        <v>45562</v>
      </c>
      <c r="L1002" s="387" t="s">
        <v>10</v>
      </c>
      <c r="M1002" s="390">
        <v>45562.869386574072</v>
      </c>
      <c r="N1002" s="367" t="s">
        <v>356</v>
      </c>
      <c r="O1002" s="367" t="s">
        <v>364</v>
      </c>
    </row>
    <row r="1003" spans="1:15" ht="30" hidden="1" outlineLevel="1">
      <c r="B1003" s="384">
        <v>2025</v>
      </c>
      <c r="C1003" s="384">
        <v>3</v>
      </c>
      <c r="D1003" s="367" t="s">
        <v>5</v>
      </c>
      <c r="E1003" s="367" t="s">
        <v>6</v>
      </c>
      <c r="F1003" s="389" t="s">
        <v>1738</v>
      </c>
      <c r="G1003" s="385">
        <v>45560</v>
      </c>
      <c r="H1003" s="367" t="s">
        <v>9</v>
      </c>
      <c r="I1003" s="368" t="str">
        <f>VLOOKUP(H1003,'[2]Source Codes'!A$2:B$115,2,FALSE)</f>
        <v>On Line Journal Entries</v>
      </c>
      <c r="J1003" s="412">
        <v>18315896</v>
      </c>
      <c r="K1003" s="385">
        <v>45562</v>
      </c>
      <c r="L1003" s="387" t="s">
        <v>344</v>
      </c>
      <c r="M1003" s="390">
        <v>45562.869386574072</v>
      </c>
      <c r="N1003" s="367" t="s">
        <v>356</v>
      </c>
      <c r="O1003" s="367" t="s">
        <v>364</v>
      </c>
    </row>
    <row r="1004" spans="1:15" ht="30" hidden="1" outlineLevel="1">
      <c r="B1004" s="384">
        <v>2025</v>
      </c>
      <c r="C1004" s="384">
        <v>3</v>
      </c>
      <c r="D1004" s="367" t="s">
        <v>5</v>
      </c>
      <c r="E1004" s="367" t="s">
        <v>6</v>
      </c>
      <c r="F1004" s="389" t="s">
        <v>1739</v>
      </c>
      <c r="G1004" s="385">
        <v>45560</v>
      </c>
      <c r="H1004" s="367" t="s">
        <v>9</v>
      </c>
      <c r="I1004" s="368" t="str">
        <f>VLOOKUP(H1004,'[2]Source Codes'!A$2:B$115,2,FALSE)</f>
        <v>On Line Journal Entries</v>
      </c>
      <c r="J1004" s="412">
        <v>11101068</v>
      </c>
      <c r="K1004" s="385">
        <v>45562</v>
      </c>
      <c r="L1004" s="387" t="s">
        <v>344</v>
      </c>
      <c r="M1004" s="390">
        <v>45562.869386574072</v>
      </c>
      <c r="N1004" s="367" t="s">
        <v>356</v>
      </c>
      <c r="O1004" s="367" t="s">
        <v>364</v>
      </c>
    </row>
    <row r="1005" spans="1:15" ht="30" hidden="1" outlineLevel="1">
      <c r="B1005" s="384">
        <v>2025</v>
      </c>
      <c r="C1005" s="384">
        <v>3</v>
      </c>
      <c r="D1005" s="367" t="s">
        <v>5</v>
      </c>
      <c r="E1005" s="367" t="s">
        <v>6</v>
      </c>
      <c r="F1005" s="389" t="s">
        <v>1740</v>
      </c>
      <c r="G1005" s="385">
        <v>45560</v>
      </c>
      <c r="H1005" s="367" t="s">
        <v>9</v>
      </c>
      <c r="I1005" s="368" t="str">
        <f>VLOOKUP(H1005,'[2]Source Codes'!A$2:B$115,2,FALSE)</f>
        <v>On Line Journal Entries</v>
      </c>
      <c r="J1005" s="412">
        <v>9420774</v>
      </c>
      <c r="K1005" s="385">
        <v>45562</v>
      </c>
      <c r="L1005" s="387" t="s">
        <v>344</v>
      </c>
      <c r="M1005" s="390">
        <v>45562.869386574072</v>
      </c>
      <c r="N1005" s="367" t="s">
        <v>356</v>
      </c>
      <c r="O1005" s="367" t="s">
        <v>364</v>
      </c>
    </row>
    <row r="1006" spans="1:15" ht="30" hidden="1" outlineLevel="1">
      <c r="B1006" s="384">
        <v>2025</v>
      </c>
      <c r="C1006" s="384">
        <v>3</v>
      </c>
      <c r="D1006" s="367" t="s">
        <v>5</v>
      </c>
      <c r="E1006" s="367" t="s">
        <v>6</v>
      </c>
      <c r="F1006" s="389" t="s">
        <v>1741</v>
      </c>
      <c r="G1006" s="385">
        <v>45560</v>
      </c>
      <c r="H1006" s="367" t="s">
        <v>9</v>
      </c>
      <c r="I1006" s="368" t="str">
        <f>VLOOKUP(H1006,'[2]Source Codes'!A$2:B$115,2,FALSE)</f>
        <v>On Line Journal Entries</v>
      </c>
      <c r="J1006" s="412">
        <v>5714353</v>
      </c>
      <c r="K1006" s="385">
        <v>45562</v>
      </c>
      <c r="L1006" s="387" t="s">
        <v>344</v>
      </c>
      <c r="M1006" s="390">
        <v>45562.869386574072</v>
      </c>
      <c r="N1006" s="367" t="s">
        <v>356</v>
      </c>
      <c r="O1006" s="367" t="s">
        <v>364</v>
      </c>
    </row>
    <row r="1007" spans="1:15" ht="75" hidden="1" outlineLevel="1">
      <c r="B1007" s="384">
        <v>2025</v>
      </c>
      <c r="C1007" s="384">
        <v>3</v>
      </c>
      <c r="D1007" s="367" t="s">
        <v>5</v>
      </c>
      <c r="E1007" s="367" t="s">
        <v>6</v>
      </c>
      <c r="F1007" s="389" t="s">
        <v>1742</v>
      </c>
      <c r="G1007" s="385">
        <v>45560</v>
      </c>
      <c r="H1007" s="367" t="s">
        <v>9</v>
      </c>
      <c r="I1007" s="368" t="str">
        <f>VLOOKUP(H1007,'[2]Source Codes'!A$2:B$115,2,FALSE)</f>
        <v>On Line Journal Entries</v>
      </c>
      <c r="J1007" s="412">
        <v>2009537.97</v>
      </c>
      <c r="K1007" s="385">
        <v>45562</v>
      </c>
      <c r="L1007" s="387" t="s">
        <v>1745</v>
      </c>
      <c r="M1007" s="390">
        <v>45562.869386574072</v>
      </c>
      <c r="N1007" s="367" t="s">
        <v>356</v>
      </c>
      <c r="O1007" s="367" t="s">
        <v>364</v>
      </c>
    </row>
    <row r="1008" spans="1:15" ht="45" hidden="1" outlineLevel="1">
      <c r="B1008" s="384">
        <v>2025</v>
      </c>
      <c r="C1008" s="384">
        <v>3</v>
      </c>
      <c r="D1008" s="367" t="s">
        <v>5</v>
      </c>
      <c r="E1008" s="367" t="s">
        <v>6</v>
      </c>
      <c r="F1008" s="389" t="s">
        <v>1743</v>
      </c>
      <c r="G1008" s="385">
        <v>45560</v>
      </c>
      <c r="H1008" s="367" t="s">
        <v>9</v>
      </c>
      <c r="I1008" s="368" t="str">
        <f>VLOOKUP(H1008,'[2]Source Codes'!A$2:B$115,2,FALSE)</f>
        <v>On Line Journal Entries</v>
      </c>
      <c r="J1008" s="412">
        <v>-6660875</v>
      </c>
      <c r="K1008" s="385">
        <v>45562</v>
      </c>
      <c r="L1008" s="387" t="s">
        <v>1747</v>
      </c>
      <c r="M1008" s="390">
        <v>45562.869386574072</v>
      </c>
      <c r="N1008" s="367" t="s">
        <v>356</v>
      </c>
      <c r="O1008" s="367" t="s">
        <v>368</v>
      </c>
    </row>
    <row r="1009" spans="1:15" ht="45" hidden="1" outlineLevel="1">
      <c r="B1009" s="384">
        <v>2025</v>
      </c>
      <c r="C1009" s="384">
        <v>3</v>
      </c>
      <c r="D1009" s="367" t="s">
        <v>5</v>
      </c>
      <c r="E1009" s="367" t="s">
        <v>6</v>
      </c>
      <c r="F1009" s="389" t="s">
        <v>1744</v>
      </c>
      <c r="G1009" s="385">
        <v>45560</v>
      </c>
      <c r="H1009" s="367" t="s">
        <v>9</v>
      </c>
      <c r="I1009" s="368" t="str">
        <f>VLOOKUP(H1009,'[2]Source Codes'!A$2:B$115,2,FALSE)</f>
        <v>On Line Journal Entries</v>
      </c>
      <c r="J1009" s="412">
        <v>-6660875</v>
      </c>
      <c r="K1009" s="385">
        <v>45562</v>
      </c>
      <c r="L1009" s="387" t="s">
        <v>1748</v>
      </c>
      <c r="M1009" s="390">
        <v>45562.869386574072</v>
      </c>
      <c r="N1009" s="367" t="s">
        <v>356</v>
      </c>
      <c r="O1009" s="367" t="s">
        <v>368</v>
      </c>
    </row>
    <row r="1010" spans="1:15" ht="12.75" customHeight="1" collapsed="1">
      <c r="J1010" s="413">
        <f>SUM(J1000:J1009)</f>
        <v>65314214.129999995</v>
      </c>
    </row>
    <row r="1012" spans="1:15" ht="12.75" customHeight="1">
      <c r="A1012" s="378" t="s">
        <v>1749</v>
      </c>
    </row>
    <row r="1013" spans="1:15" ht="15" hidden="1" outlineLevel="1">
      <c r="B1013" s="384">
        <v>2025</v>
      </c>
      <c r="C1013" s="384">
        <v>3</v>
      </c>
      <c r="D1013" s="367" t="s">
        <v>5</v>
      </c>
      <c r="E1013" s="367" t="s">
        <v>6</v>
      </c>
      <c r="F1013" s="389" t="s">
        <v>1750</v>
      </c>
      <c r="G1013" s="385">
        <v>45565</v>
      </c>
      <c r="H1013" s="367" t="s">
        <v>110</v>
      </c>
      <c r="I1013" s="368" t="str">
        <f>VLOOKUP(H1013,'[2]Source Codes'!A$2:B$115,2,FALSE)</f>
        <v>Treasurers Interest Apportion</v>
      </c>
      <c r="J1013" s="412">
        <v>24772457.780000001</v>
      </c>
      <c r="K1013" s="385">
        <v>45565</v>
      </c>
      <c r="L1013" s="387" t="s">
        <v>1753</v>
      </c>
      <c r="M1013" s="390">
        <v>45565.424803240741</v>
      </c>
      <c r="N1013" s="367" t="s">
        <v>361</v>
      </c>
      <c r="O1013" s="367" t="s">
        <v>380</v>
      </c>
    </row>
    <row r="1014" spans="1:15" ht="30" hidden="1" outlineLevel="1">
      <c r="B1014" s="384">
        <v>2025</v>
      </c>
      <c r="C1014" s="384">
        <v>4</v>
      </c>
      <c r="D1014" s="367" t="s">
        <v>5</v>
      </c>
      <c r="E1014" s="367" t="s">
        <v>6</v>
      </c>
      <c r="F1014" s="389" t="s">
        <v>1751</v>
      </c>
      <c r="G1014" s="385">
        <v>45566</v>
      </c>
      <c r="H1014" s="367" t="s">
        <v>9</v>
      </c>
      <c r="I1014" s="368" t="str">
        <f>VLOOKUP(H1014,'[2]Source Codes'!A$2:B$115,2,FALSE)</f>
        <v>On Line Journal Entries</v>
      </c>
      <c r="J1014" s="412">
        <v>3346271.98</v>
      </c>
      <c r="K1014" s="385">
        <v>45565</v>
      </c>
      <c r="L1014" s="387" t="s">
        <v>1754</v>
      </c>
      <c r="M1014" s="390">
        <v>45565.673472222225</v>
      </c>
      <c r="N1014" s="367" t="s">
        <v>360</v>
      </c>
      <c r="O1014" s="367" t="s">
        <v>371</v>
      </c>
    </row>
    <row r="1015" spans="1:15" ht="15" hidden="1" outlineLevel="1">
      <c r="B1015" s="384">
        <v>2025</v>
      </c>
      <c r="C1015" s="384">
        <v>3</v>
      </c>
      <c r="D1015" s="367" t="s">
        <v>5</v>
      </c>
      <c r="E1015" s="367" t="s">
        <v>6</v>
      </c>
      <c r="F1015" s="389" t="s">
        <v>1752</v>
      </c>
      <c r="G1015" s="385">
        <v>45560</v>
      </c>
      <c r="H1015" s="367" t="s">
        <v>9</v>
      </c>
      <c r="I1015" s="368" t="str">
        <f>VLOOKUP(H1015,'[2]Source Codes'!A$2:B$115,2,FALSE)</f>
        <v>On Line Journal Entries</v>
      </c>
      <c r="J1015" s="412">
        <v>-1542083</v>
      </c>
      <c r="K1015" s="385">
        <v>45565</v>
      </c>
      <c r="L1015" s="387" t="s">
        <v>1755</v>
      </c>
      <c r="M1015" s="390">
        <v>45565.869745370372</v>
      </c>
      <c r="N1015" s="367" t="s">
        <v>356</v>
      </c>
      <c r="O1015" s="367" t="s">
        <v>368</v>
      </c>
    </row>
    <row r="1016" spans="1:15" ht="12.75" customHeight="1" collapsed="1">
      <c r="J1016" s="413">
        <f>SUM(J1013:J1015)</f>
        <v>26576646.760000002</v>
      </c>
    </row>
    <row r="1018" spans="1:15" ht="12.75" customHeight="1">
      <c r="A1018" s="378" t="s">
        <v>1756</v>
      </c>
    </row>
    <row r="1019" spans="1:15" ht="30" hidden="1" outlineLevel="1">
      <c r="B1019" s="384">
        <v>2025</v>
      </c>
      <c r="C1019" s="384">
        <v>4</v>
      </c>
      <c r="D1019" s="367" t="s">
        <v>5</v>
      </c>
      <c r="E1019" s="367" t="s">
        <v>6</v>
      </c>
      <c r="F1019" s="389" t="s">
        <v>1757</v>
      </c>
      <c r="G1019" s="385">
        <v>45568</v>
      </c>
      <c r="H1019" s="367" t="s">
        <v>14</v>
      </c>
      <c r="I1019" s="368" t="str">
        <f>VLOOKUP(H1019,'[2]Source Codes'!A$2:B$115,2,FALSE)</f>
        <v>AP Warrant Issuance</v>
      </c>
      <c r="J1019" s="412">
        <v>-1067826.6299999999</v>
      </c>
      <c r="K1019" s="385">
        <v>45566</v>
      </c>
      <c r="L1019" s="387" t="s">
        <v>1760</v>
      </c>
      <c r="M1019" s="390">
        <v>45566.793680555558</v>
      </c>
      <c r="N1019" s="367" t="s">
        <v>356</v>
      </c>
      <c r="O1019" s="367" t="s">
        <v>368</v>
      </c>
    </row>
    <row r="1020" spans="1:15" ht="30" hidden="1" outlineLevel="1">
      <c r="B1020" s="384">
        <v>2025</v>
      </c>
      <c r="C1020" s="384">
        <v>3</v>
      </c>
      <c r="D1020" s="367" t="s">
        <v>5</v>
      </c>
      <c r="E1020" s="367" t="s">
        <v>6</v>
      </c>
      <c r="F1020" s="389" t="s">
        <v>1758</v>
      </c>
      <c r="G1020" s="385">
        <v>45562</v>
      </c>
      <c r="H1020" s="367" t="s">
        <v>12</v>
      </c>
      <c r="I1020" s="368" t="str">
        <f>VLOOKUP(H1020,'[2]Source Codes'!A$2:B$115,2,FALSE)</f>
        <v>AR Direct Cash Journal</v>
      </c>
      <c r="J1020" s="412">
        <v>3239678.74</v>
      </c>
      <c r="K1020" s="385">
        <v>45566</v>
      </c>
      <c r="L1020" s="387" t="s">
        <v>1761</v>
      </c>
      <c r="M1020" s="390">
        <v>45566.751840277779</v>
      </c>
      <c r="N1020" s="367" t="s">
        <v>356</v>
      </c>
      <c r="O1020" s="367" t="s">
        <v>371</v>
      </c>
    </row>
    <row r="1021" spans="1:15" ht="30" hidden="1" outlineLevel="1">
      <c r="B1021" s="384">
        <v>2025</v>
      </c>
      <c r="C1021" s="384">
        <v>3</v>
      </c>
      <c r="D1021" s="367" t="s">
        <v>5</v>
      </c>
      <c r="E1021" s="367" t="s">
        <v>6</v>
      </c>
      <c r="F1021" s="389" t="s">
        <v>1759</v>
      </c>
      <c r="G1021" s="385">
        <v>45559</v>
      </c>
      <c r="H1021" s="367" t="s">
        <v>12</v>
      </c>
      <c r="I1021" s="368" t="str">
        <f>VLOOKUP(H1021,'[2]Source Codes'!A$2:B$115,2,FALSE)</f>
        <v>AR Direct Cash Journal</v>
      </c>
      <c r="J1021" s="412">
        <v>25815540.809999999</v>
      </c>
      <c r="K1021" s="385">
        <v>45566</v>
      </c>
      <c r="L1021" s="387" t="s">
        <v>1762</v>
      </c>
      <c r="M1021" s="390">
        <v>45566.751840277779</v>
      </c>
      <c r="N1021" s="367" t="s">
        <v>361</v>
      </c>
      <c r="O1021" s="367" t="s">
        <v>368</v>
      </c>
    </row>
    <row r="1022" spans="1:15" ht="12.75" customHeight="1" collapsed="1">
      <c r="J1022" s="413">
        <f>SUM(J1019:J1021)</f>
        <v>27987392.919999998</v>
      </c>
    </row>
    <row r="1024" spans="1:15" ht="12.75" customHeight="1">
      <c r="A1024" s="378" t="s">
        <v>1763</v>
      </c>
    </row>
    <row r="1025" spans="1:15" ht="30" hidden="1" outlineLevel="1">
      <c r="B1025" s="384">
        <v>2025</v>
      </c>
      <c r="C1025" s="384">
        <v>4</v>
      </c>
      <c r="D1025" s="367" t="s">
        <v>5</v>
      </c>
      <c r="E1025" s="367" t="s">
        <v>6</v>
      </c>
      <c r="F1025" s="389" t="s">
        <v>1764</v>
      </c>
      <c r="G1025" s="385">
        <v>45567</v>
      </c>
      <c r="H1025" s="367" t="s">
        <v>14</v>
      </c>
      <c r="I1025" s="368" t="str">
        <f>VLOOKUP(H1025,'[2]Source Codes'!A$2:B$115,2,FALSE)</f>
        <v>AP Warrant Issuance</v>
      </c>
      <c r="J1025" s="412">
        <v>-3006323.51</v>
      </c>
      <c r="K1025" s="385">
        <v>45567</v>
      </c>
      <c r="L1025" s="387" t="s">
        <v>1772</v>
      </c>
      <c r="M1025" s="390">
        <v>45567.793680555558</v>
      </c>
      <c r="N1025" s="367" t="s">
        <v>356</v>
      </c>
      <c r="O1025" s="367" t="s">
        <v>368</v>
      </c>
    </row>
    <row r="1026" spans="1:15" ht="30" hidden="1" outlineLevel="1">
      <c r="B1026" s="384">
        <v>2025</v>
      </c>
      <c r="C1026" s="384">
        <v>4</v>
      </c>
      <c r="D1026" s="367" t="s">
        <v>5</v>
      </c>
      <c r="E1026" s="367" t="s">
        <v>6</v>
      </c>
      <c r="F1026" s="389" t="s">
        <v>1765</v>
      </c>
      <c r="G1026" s="385">
        <v>45569</v>
      </c>
      <c r="H1026" s="367" t="s">
        <v>14</v>
      </c>
      <c r="I1026" s="368" t="str">
        <f>VLOOKUP(H1026,'[2]Source Codes'!A$2:B$115,2,FALSE)</f>
        <v>AP Warrant Issuance</v>
      </c>
      <c r="J1026" s="412">
        <v>-1820386.62</v>
      </c>
      <c r="K1026" s="385">
        <v>45567</v>
      </c>
      <c r="L1026" s="387" t="s">
        <v>1773</v>
      </c>
      <c r="M1026" s="390">
        <v>45567.793680555558</v>
      </c>
      <c r="N1026" s="367" t="s">
        <v>356</v>
      </c>
      <c r="O1026" s="367" t="s">
        <v>368</v>
      </c>
    </row>
    <row r="1027" spans="1:15" ht="30" hidden="1" outlineLevel="1">
      <c r="B1027" s="384">
        <v>2025</v>
      </c>
      <c r="C1027" s="384">
        <v>3</v>
      </c>
      <c r="D1027" s="367" t="s">
        <v>5</v>
      </c>
      <c r="E1027" s="367" t="s">
        <v>6</v>
      </c>
      <c r="F1027" s="389" t="s">
        <v>1766</v>
      </c>
      <c r="G1027" s="385">
        <v>45562</v>
      </c>
      <c r="H1027" s="367" t="s">
        <v>9</v>
      </c>
      <c r="I1027" s="368" t="str">
        <f>VLOOKUP(H1027,'[2]Source Codes'!A$2:B$115,2,FALSE)</f>
        <v>On Line Journal Entries</v>
      </c>
      <c r="J1027" s="412">
        <v>22490359.109999999</v>
      </c>
      <c r="K1027" s="385">
        <v>45567</v>
      </c>
      <c r="L1027" s="387" t="s">
        <v>1774</v>
      </c>
      <c r="M1027" s="390">
        <v>45567.870196759257</v>
      </c>
      <c r="N1027" s="367" t="s">
        <v>356</v>
      </c>
      <c r="O1027" s="367" t="s">
        <v>371</v>
      </c>
    </row>
    <row r="1028" spans="1:15" ht="60" hidden="1" outlineLevel="1">
      <c r="B1028" s="384">
        <v>2025</v>
      </c>
      <c r="C1028" s="384">
        <v>3</v>
      </c>
      <c r="D1028" s="367" t="s">
        <v>5</v>
      </c>
      <c r="E1028" s="367" t="s">
        <v>6</v>
      </c>
      <c r="F1028" s="389" t="s">
        <v>1767</v>
      </c>
      <c r="G1028" s="385">
        <v>45562</v>
      </c>
      <c r="H1028" s="367" t="s">
        <v>9</v>
      </c>
      <c r="I1028" s="368" t="str">
        <f>VLOOKUP(H1028,'[2]Source Codes'!A$2:B$115,2,FALSE)</f>
        <v>On Line Journal Entries</v>
      </c>
      <c r="J1028" s="412">
        <v>3348859.09</v>
      </c>
      <c r="K1028" s="385">
        <v>45567</v>
      </c>
      <c r="L1028" s="387" t="s">
        <v>1775</v>
      </c>
      <c r="M1028" s="390">
        <v>45567.870196759257</v>
      </c>
      <c r="N1028" s="367" t="s">
        <v>356</v>
      </c>
      <c r="O1028" s="367" t="s">
        <v>371</v>
      </c>
    </row>
    <row r="1029" spans="1:15" ht="30" hidden="1" outlineLevel="1">
      <c r="B1029" s="384">
        <v>2025</v>
      </c>
      <c r="C1029" s="384">
        <v>3</v>
      </c>
      <c r="D1029" s="367" t="s">
        <v>5</v>
      </c>
      <c r="E1029" s="367" t="s">
        <v>6</v>
      </c>
      <c r="F1029" s="389" t="s">
        <v>1768</v>
      </c>
      <c r="G1029" s="385">
        <v>45562</v>
      </c>
      <c r="H1029" s="367" t="s">
        <v>9</v>
      </c>
      <c r="I1029" s="368" t="str">
        <f>VLOOKUP(H1029,'[2]Source Codes'!A$2:B$115,2,FALSE)</f>
        <v>On Line Journal Entries</v>
      </c>
      <c r="J1029" s="412">
        <v>1899487.11</v>
      </c>
      <c r="K1029" s="385">
        <v>45567</v>
      </c>
      <c r="L1029" s="387" t="s">
        <v>1771</v>
      </c>
      <c r="M1029" s="390">
        <v>45567.870196759257</v>
      </c>
      <c r="N1029" s="367" t="s">
        <v>387</v>
      </c>
      <c r="O1029" s="367" t="s">
        <v>371</v>
      </c>
    </row>
    <row r="1030" spans="1:15" ht="15" hidden="1" outlineLevel="1">
      <c r="B1030" s="384">
        <v>2025</v>
      </c>
      <c r="C1030" s="384">
        <v>3</v>
      </c>
      <c r="D1030" s="367" t="s">
        <v>5</v>
      </c>
      <c r="E1030" s="367" t="s">
        <v>6</v>
      </c>
      <c r="F1030" s="389" t="s">
        <v>1769</v>
      </c>
      <c r="G1030" s="385">
        <v>45562</v>
      </c>
      <c r="H1030" s="367" t="s">
        <v>9</v>
      </c>
      <c r="I1030" s="368" t="str">
        <f>VLOOKUP(H1030,'[2]Source Codes'!A$2:B$115,2,FALSE)</f>
        <v>On Line Journal Entries</v>
      </c>
      <c r="J1030" s="412">
        <v>1557488.86</v>
      </c>
      <c r="K1030" s="385">
        <v>45567</v>
      </c>
      <c r="L1030" s="387" t="s">
        <v>1776</v>
      </c>
      <c r="M1030" s="390">
        <v>45567.870196759257</v>
      </c>
      <c r="N1030" s="367" t="s">
        <v>356</v>
      </c>
      <c r="O1030" s="367" t="s">
        <v>371</v>
      </c>
    </row>
    <row r="1031" spans="1:15" ht="45" hidden="1" outlineLevel="1">
      <c r="B1031" s="384">
        <v>2025</v>
      </c>
      <c r="C1031" s="384">
        <v>3</v>
      </c>
      <c r="D1031" s="367" t="s">
        <v>5</v>
      </c>
      <c r="E1031" s="367" t="s">
        <v>6</v>
      </c>
      <c r="F1031" s="389" t="s">
        <v>1770</v>
      </c>
      <c r="G1031" s="385">
        <v>45562</v>
      </c>
      <c r="H1031" s="367" t="s">
        <v>9</v>
      </c>
      <c r="I1031" s="368" t="str">
        <f>VLOOKUP(H1031,'[2]Source Codes'!A$2:B$115,2,FALSE)</f>
        <v>On Line Journal Entries</v>
      </c>
      <c r="J1031" s="412">
        <v>-7538669.6600000001</v>
      </c>
      <c r="K1031" s="385">
        <v>45567</v>
      </c>
      <c r="L1031" s="387" t="s">
        <v>1777</v>
      </c>
      <c r="M1031" s="390">
        <v>45567.870196759257</v>
      </c>
      <c r="N1031" s="367" t="s">
        <v>356</v>
      </c>
      <c r="O1031" s="367" t="s">
        <v>371</v>
      </c>
    </row>
    <row r="1032" spans="1:15" ht="12.75" customHeight="1" collapsed="1">
      <c r="J1032" s="413">
        <f>SUM(J1025:J1031)</f>
        <v>16930814.379999999</v>
      </c>
    </row>
    <row r="1034" spans="1:15" ht="12.75" customHeight="1">
      <c r="A1034" s="378" t="s">
        <v>1778</v>
      </c>
    </row>
    <row r="1035" spans="1:15" ht="30" hidden="1" outlineLevel="1">
      <c r="B1035" s="384">
        <v>2025</v>
      </c>
      <c r="C1035" s="384">
        <v>4</v>
      </c>
      <c r="D1035" s="367" t="s">
        <v>5</v>
      </c>
      <c r="E1035" s="367" t="s">
        <v>6</v>
      </c>
      <c r="F1035" s="389" t="s">
        <v>1779</v>
      </c>
      <c r="G1035" s="385">
        <v>45572</v>
      </c>
      <c r="H1035" s="367" t="s">
        <v>14</v>
      </c>
      <c r="I1035" s="368" t="str">
        <f>VLOOKUP(H1035,'[2]Source Codes'!A$2:B$115,2,FALSE)</f>
        <v>AP Warrant Issuance</v>
      </c>
      <c r="J1035" s="412">
        <v>-3931601.25</v>
      </c>
      <c r="K1035" s="385">
        <v>45568</v>
      </c>
      <c r="L1035" s="387" t="s">
        <v>1789</v>
      </c>
      <c r="M1035" s="390">
        <v>45568.793726851851</v>
      </c>
      <c r="N1035" s="367" t="s">
        <v>507</v>
      </c>
      <c r="O1035" s="367" t="s">
        <v>358</v>
      </c>
    </row>
    <row r="1036" spans="1:15" ht="30" hidden="1" outlineLevel="1">
      <c r="B1036" s="384">
        <v>2025</v>
      </c>
      <c r="C1036" s="384">
        <v>4</v>
      </c>
      <c r="D1036" s="367" t="s">
        <v>5</v>
      </c>
      <c r="E1036" s="367" t="s">
        <v>6</v>
      </c>
      <c r="F1036" s="389" t="s">
        <v>1780</v>
      </c>
      <c r="G1036" s="385">
        <v>45568</v>
      </c>
      <c r="H1036" s="367" t="s">
        <v>12</v>
      </c>
      <c r="I1036" s="368" t="str">
        <f>VLOOKUP(H1036,'[2]Source Codes'!A$2:B$115,2,FALSE)</f>
        <v>AR Direct Cash Journal</v>
      </c>
      <c r="J1036" s="412">
        <v>1527158.72</v>
      </c>
      <c r="K1036" s="385">
        <v>45568</v>
      </c>
      <c r="L1036" s="387" t="s">
        <v>1786</v>
      </c>
      <c r="M1036" s="390">
        <v>45568.751944444448</v>
      </c>
      <c r="N1036" s="367" t="s">
        <v>356</v>
      </c>
      <c r="O1036" s="367" t="s">
        <v>370</v>
      </c>
    </row>
    <row r="1037" spans="1:15" ht="45" hidden="1" outlineLevel="1">
      <c r="B1037" s="384">
        <v>2025</v>
      </c>
      <c r="C1037" s="384">
        <v>4</v>
      </c>
      <c r="D1037" s="367" t="s">
        <v>5</v>
      </c>
      <c r="E1037" s="367" t="s">
        <v>6</v>
      </c>
      <c r="F1037" s="389" t="s">
        <v>1781</v>
      </c>
      <c r="G1037" s="385">
        <v>45567</v>
      </c>
      <c r="H1037" s="367" t="s">
        <v>11</v>
      </c>
      <c r="I1037" s="368" t="str">
        <f>VLOOKUP(H1037,'[2]Source Codes'!A$2:B$115,2,FALSE)</f>
        <v>AR Payments</v>
      </c>
      <c r="J1037" s="412">
        <v>2273019.86</v>
      </c>
      <c r="K1037" s="385">
        <v>45568</v>
      </c>
      <c r="L1037" s="387" t="s">
        <v>1787</v>
      </c>
      <c r="M1037" s="390">
        <v>45568.751944444448</v>
      </c>
      <c r="N1037" s="367" t="s">
        <v>356</v>
      </c>
      <c r="O1037" s="367" t="s">
        <v>357</v>
      </c>
    </row>
    <row r="1038" spans="1:15" ht="45" hidden="1" outlineLevel="1">
      <c r="B1038" s="384">
        <v>2025</v>
      </c>
      <c r="C1038" s="384">
        <v>3</v>
      </c>
      <c r="D1038" s="367" t="s">
        <v>5</v>
      </c>
      <c r="E1038" s="367" t="s">
        <v>6</v>
      </c>
      <c r="F1038" s="389" t="s">
        <v>1782</v>
      </c>
      <c r="G1038" s="385">
        <v>45562</v>
      </c>
      <c r="H1038" s="367" t="s">
        <v>9</v>
      </c>
      <c r="I1038" s="368" t="str">
        <f>VLOOKUP(H1038,'[2]Source Codes'!A$2:B$115,2,FALSE)</f>
        <v>On Line Journal Entries</v>
      </c>
      <c r="J1038" s="412">
        <v>21410345.59</v>
      </c>
      <c r="K1038" s="385">
        <v>45568</v>
      </c>
      <c r="L1038" s="387" t="s">
        <v>1788</v>
      </c>
      <c r="M1038" s="390">
        <v>45568.380960648145</v>
      </c>
      <c r="N1038" s="367" t="s">
        <v>356</v>
      </c>
      <c r="O1038" s="367" t="s">
        <v>371</v>
      </c>
    </row>
    <row r="1039" spans="1:15" ht="45" hidden="1" outlineLevel="1">
      <c r="B1039" s="384">
        <v>2025</v>
      </c>
      <c r="C1039" s="384">
        <v>3</v>
      </c>
      <c r="D1039" s="367" t="s">
        <v>5</v>
      </c>
      <c r="E1039" s="367" t="s">
        <v>6</v>
      </c>
      <c r="F1039" s="389" t="s">
        <v>1783</v>
      </c>
      <c r="G1039" s="385">
        <v>45562</v>
      </c>
      <c r="H1039" s="367" t="s">
        <v>9</v>
      </c>
      <c r="I1039" s="368" t="str">
        <f>VLOOKUP(H1039,'[2]Source Codes'!A$2:B$115,2,FALSE)</f>
        <v>On Line Journal Entries</v>
      </c>
      <c r="J1039" s="412">
        <v>2039573.16</v>
      </c>
      <c r="K1039" s="385">
        <v>45568</v>
      </c>
      <c r="L1039" s="387" t="s">
        <v>1790</v>
      </c>
      <c r="M1039" s="390">
        <v>45568.377708333333</v>
      </c>
      <c r="N1039" s="367" t="s">
        <v>356</v>
      </c>
      <c r="O1039" s="367" t="s">
        <v>371</v>
      </c>
    </row>
    <row r="1040" spans="1:15" ht="45" hidden="1" outlineLevel="1">
      <c r="B1040" s="384">
        <v>2025</v>
      </c>
      <c r="C1040" s="384">
        <v>4</v>
      </c>
      <c r="D1040" s="367" t="s">
        <v>5</v>
      </c>
      <c r="E1040" s="367" t="s">
        <v>6</v>
      </c>
      <c r="F1040" s="389" t="s">
        <v>1784</v>
      </c>
      <c r="G1040" s="385">
        <v>45566</v>
      </c>
      <c r="H1040" s="367" t="s">
        <v>9</v>
      </c>
      <c r="I1040" s="368" t="str">
        <f>VLOOKUP(H1040,'[2]Source Codes'!A$2:B$115,2,FALSE)</f>
        <v>On Line Journal Entries</v>
      </c>
      <c r="J1040" s="412">
        <v>-1388798.45</v>
      </c>
      <c r="K1040" s="385">
        <v>45568</v>
      </c>
      <c r="L1040" s="387" t="s">
        <v>1791</v>
      </c>
      <c r="M1040" s="390">
        <v>45568.870208333334</v>
      </c>
      <c r="N1040" s="367" t="s">
        <v>387</v>
      </c>
      <c r="O1040" s="367" t="s">
        <v>358</v>
      </c>
    </row>
    <row r="1041" spans="1:15" ht="45" hidden="1" outlineLevel="1">
      <c r="B1041" s="384">
        <v>2025</v>
      </c>
      <c r="C1041" s="384">
        <v>4</v>
      </c>
      <c r="D1041" s="367" t="s">
        <v>5</v>
      </c>
      <c r="E1041" s="367" t="s">
        <v>6</v>
      </c>
      <c r="F1041" s="389" t="s">
        <v>1785</v>
      </c>
      <c r="G1041" s="385">
        <v>45566</v>
      </c>
      <c r="H1041" s="367" t="s">
        <v>9</v>
      </c>
      <c r="I1041" s="368" t="str">
        <f>VLOOKUP(H1041,'[2]Source Codes'!A$2:B$115,2,FALSE)</f>
        <v>On Line Journal Entries</v>
      </c>
      <c r="J1041" s="412">
        <v>-1692839.8</v>
      </c>
      <c r="K1041" s="385">
        <v>45568</v>
      </c>
      <c r="L1041" s="387" t="s">
        <v>1792</v>
      </c>
      <c r="M1041" s="390">
        <v>45568.870208333334</v>
      </c>
      <c r="N1041" s="367" t="s">
        <v>387</v>
      </c>
      <c r="O1041" s="367" t="s">
        <v>358</v>
      </c>
    </row>
    <row r="1042" spans="1:15" ht="12.75" customHeight="1" collapsed="1">
      <c r="J1042" s="413">
        <f>SUM(J1035:J1041)</f>
        <v>20236857.829999998</v>
      </c>
    </row>
    <row r="1044" spans="1:15" ht="12.75" customHeight="1">
      <c r="A1044" s="378" t="s">
        <v>1793</v>
      </c>
    </row>
    <row r="1045" spans="1:15" ht="45" hidden="1" outlineLevel="1">
      <c r="B1045" s="384">
        <v>2025</v>
      </c>
      <c r="C1045" s="384">
        <v>4</v>
      </c>
      <c r="D1045" s="367" t="s">
        <v>5</v>
      </c>
      <c r="E1045" s="367" t="s">
        <v>6</v>
      </c>
      <c r="F1045" s="389" t="s">
        <v>1794</v>
      </c>
      <c r="G1045" s="385">
        <v>45572</v>
      </c>
      <c r="H1045" s="367" t="s">
        <v>11</v>
      </c>
      <c r="I1045" s="368" t="str">
        <f>VLOOKUP(H1045,'[2]Source Codes'!A$2:B$115,2,FALSE)</f>
        <v>AR Payments</v>
      </c>
      <c r="J1045" s="412">
        <v>1483880.79</v>
      </c>
      <c r="K1045" s="385">
        <v>45572</v>
      </c>
      <c r="L1045" s="387" t="s">
        <v>1806</v>
      </c>
      <c r="M1045" s="390">
        <v>45572.751736111109</v>
      </c>
      <c r="N1045" s="367" t="s">
        <v>387</v>
      </c>
      <c r="O1045" s="367" t="s">
        <v>376</v>
      </c>
    </row>
    <row r="1046" spans="1:15" ht="60" hidden="1" outlineLevel="1">
      <c r="B1046" s="384">
        <v>2025</v>
      </c>
      <c r="C1046" s="384">
        <v>4</v>
      </c>
      <c r="D1046" s="367" t="s">
        <v>5</v>
      </c>
      <c r="E1046" s="367" t="s">
        <v>6</v>
      </c>
      <c r="F1046" s="389" t="s">
        <v>1795</v>
      </c>
      <c r="G1046" s="385">
        <v>45566</v>
      </c>
      <c r="H1046" s="367" t="s">
        <v>9</v>
      </c>
      <c r="I1046" s="368" t="str">
        <f>VLOOKUP(H1046,'[2]Source Codes'!A$2:B$115,2,FALSE)</f>
        <v>On Line Journal Entries</v>
      </c>
      <c r="J1046" s="412">
        <v>21410345.59</v>
      </c>
      <c r="K1046" s="385">
        <v>45572</v>
      </c>
      <c r="L1046" s="387" t="s">
        <v>1807</v>
      </c>
      <c r="M1046" s="390">
        <v>45572.869814814818</v>
      </c>
      <c r="N1046" s="367" t="s">
        <v>360</v>
      </c>
      <c r="O1046" s="367" t="s">
        <v>371</v>
      </c>
    </row>
    <row r="1047" spans="1:15" ht="30" hidden="1" outlineLevel="1">
      <c r="B1047" s="384">
        <v>2025</v>
      </c>
      <c r="C1047" s="384">
        <v>4</v>
      </c>
      <c r="D1047" s="367" t="s">
        <v>5</v>
      </c>
      <c r="E1047" s="367" t="s">
        <v>6</v>
      </c>
      <c r="F1047" s="389" t="s">
        <v>1796</v>
      </c>
      <c r="G1047" s="385">
        <v>45566</v>
      </c>
      <c r="H1047" s="367" t="s">
        <v>9</v>
      </c>
      <c r="I1047" s="368" t="str">
        <f>VLOOKUP(H1047,'[2]Source Codes'!A$2:B$115,2,FALSE)</f>
        <v>On Line Journal Entries</v>
      </c>
      <c r="J1047" s="412">
        <v>1998572.71</v>
      </c>
      <c r="K1047" s="385">
        <v>45572</v>
      </c>
      <c r="L1047" s="387" t="s">
        <v>1808</v>
      </c>
      <c r="M1047" s="390">
        <v>45572.531226851854</v>
      </c>
      <c r="N1047" s="367" t="s">
        <v>361</v>
      </c>
      <c r="O1047" s="367" t="s">
        <v>362</v>
      </c>
    </row>
    <row r="1048" spans="1:15" ht="15" hidden="1" outlineLevel="1">
      <c r="B1048" s="384">
        <v>2025</v>
      </c>
      <c r="C1048" s="384">
        <v>4</v>
      </c>
      <c r="D1048" s="367" t="s">
        <v>5</v>
      </c>
      <c r="E1048" s="367" t="s">
        <v>6</v>
      </c>
      <c r="F1048" s="389" t="s">
        <v>1797</v>
      </c>
      <c r="G1048" s="385">
        <v>45567</v>
      </c>
      <c r="H1048" s="367" t="s">
        <v>7</v>
      </c>
      <c r="I1048" s="368" t="str">
        <f>VLOOKUP(H1048,'[2]Source Codes'!A$2:B$115,2,FALSE)</f>
        <v>HRMS Interface Journals</v>
      </c>
      <c r="J1048" s="412">
        <v>-2345635.44</v>
      </c>
      <c r="K1048" s="385">
        <v>45572</v>
      </c>
      <c r="L1048" s="387" t="s">
        <v>350</v>
      </c>
      <c r="M1048" s="390">
        <v>45572.352314814816</v>
      </c>
      <c r="N1048" s="367" t="s">
        <v>365</v>
      </c>
      <c r="O1048" s="367" t="s">
        <v>366</v>
      </c>
    </row>
    <row r="1049" spans="1:15" ht="45" hidden="1" outlineLevel="1">
      <c r="B1049" s="384">
        <v>2025</v>
      </c>
      <c r="C1049" s="384">
        <v>4</v>
      </c>
      <c r="D1049" s="367" t="s">
        <v>5</v>
      </c>
      <c r="E1049" s="367" t="s">
        <v>6</v>
      </c>
      <c r="F1049" s="389" t="s">
        <v>1798</v>
      </c>
      <c r="G1049" s="385">
        <v>45566</v>
      </c>
      <c r="H1049" s="367" t="s">
        <v>9</v>
      </c>
      <c r="I1049" s="368" t="str">
        <f>VLOOKUP(H1049,'[2]Source Codes'!A$2:B$115,2,FALSE)</f>
        <v>On Line Journal Entries</v>
      </c>
      <c r="J1049" s="412">
        <v>-2759862.5</v>
      </c>
      <c r="K1049" s="385">
        <v>45572</v>
      </c>
      <c r="L1049" s="387" t="s">
        <v>1814</v>
      </c>
      <c r="M1049" s="390">
        <v>45572.869814814818</v>
      </c>
      <c r="N1049" s="367" t="s">
        <v>387</v>
      </c>
      <c r="O1049" s="367" t="s">
        <v>358</v>
      </c>
    </row>
    <row r="1050" spans="1:15" ht="15" hidden="1" outlineLevel="1">
      <c r="B1050" s="384">
        <v>2025</v>
      </c>
      <c r="C1050" s="384">
        <v>4</v>
      </c>
      <c r="D1050" s="367" t="s">
        <v>5</v>
      </c>
      <c r="E1050" s="367" t="s">
        <v>6</v>
      </c>
      <c r="F1050" s="389" t="s">
        <v>1799</v>
      </c>
      <c r="G1050" s="385">
        <v>45566</v>
      </c>
      <c r="H1050" s="367" t="s">
        <v>13</v>
      </c>
      <c r="I1050" s="368" t="str">
        <f>VLOOKUP(H1050,'[2]Source Codes'!A$2:B$115,2,FALSE)</f>
        <v>C-IV Voucher/Payments/EBT</v>
      </c>
      <c r="J1050" s="412">
        <v>-9596239.6400000006</v>
      </c>
      <c r="K1050" s="385">
        <v>45572</v>
      </c>
      <c r="L1050" s="387" t="s">
        <v>388</v>
      </c>
      <c r="M1050" s="390">
        <v>45572.869837962964</v>
      </c>
      <c r="N1050" s="367" t="s">
        <v>356</v>
      </c>
      <c r="O1050" s="367" t="s">
        <v>364</v>
      </c>
    </row>
    <row r="1051" spans="1:15" ht="15" hidden="1" outlineLevel="1">
      <c r="B1051" s="384">
        <v>2025</v>
      </c>
      <c r="C1051" s="384">
        <v>4</v>
      </c>
      <c r="D1051" s="367" t="s">
        <v>5</v>
      </c>
      <c r="E1051" s="367" t="s">
        <v>6</v>
      </c>
      <c r="F1051" s="389" t="s">
        <v>1800</v>
      </c>
      <c r="G1051" s="385">
        <v>45567</v>
      </c>
      <c r="H1051" s="367" t="s">
        <v>7</v>
      </c>
      <c r="I1051" s="368" t="str">
        <f>VLOOKUP(H1051,'[2]Source Codes'!A$2:B$115,2,FALSE)</f>
        <v>HRMS Interface Journals</v>
      </c>
      <c r="J1051" s="412">
        <v>-10457081.76</v>
      </c>
      <c r="K1051" s="385">
        <v>45572</v>
      </c>
      <c r="L1051" s="387" t="s">
        <v>349</v>
      </c>
      <c r="M1051" s="390">
        <v>45572.349317129629</v>
      </c>
      <c r="N1051" s="367" t="s">
        <v>365</v>
      </c>
      <c r="O1051" s="367" t="s">
        <v>366</v>
      </c>
    </row>
    <row r="1052" spans="1:15" ht="45" hidden="1" outlineLevel="1">
      <c r="B1052" s="384">
        <v>2025</v>
      </c>
      <c r="C1052" s="384">
        <v>4</v>
      </c>
      <c r="D1052" s="367" t="s">
        <v>5</v>
      </c>
      <c r="E1052" s="367" t="s">
        <v>6</v>
      </c>
      <c r="F1052" s="389" t="s">
        <v>1801</v>
      </c>
      <c r="G1052" s="385">
        <v>45566</v>
      </c>
      <c r="H1052" s="367" t="s">
        <v>9</v>
      </c>
      <c r="I1052" s="368" t="str">
        <f>VLOOKUP(H1052,'[2]Source Codes'!A$2:B$115,2,FALSE)</f>
        <v>On Line Journal Entries</v>
      </c>
      <c r="J1052" s="412">
        <v>-11260483.73</v>
      </c>
      <c r="K1052" s="385">
        <v>45572</v>
      </c>
      <c r="L1052" s="387" t="s">
        <v>1815</v>
      </c>
      <c r="M1052" s="390">
        <v>45572.869814814818</v>
      </c>
      <c r="N1052" s="367" t="s">
        <v>387</v>
      </c>
      <c r="O1052" s="367" t="s">
        <v>358</v>
      </c>
    </row>
    <row r="1053" spans="1:15" ht="15" hidden="1" outlineLevel="1">
      <c r="B1053" s="384">
        <v>2025</v>
      </c>
      <c r="C1053" s="384">
        <v>4</v>
      </c>
      <c r="D1053" s="367" t="s">
        <v>5</v>
      </c>
      <c r="E1053" s="367" t="s">
        <v>6</v>
      </c>
      <c r="F1053" s="389" t="s">
        <v>1802</v>
      </c>
      <c r="G1053" s="385">
        <v>45566</v>
      </c>
      <c r="H1053" s="367" t="s">
        <v>13</v>
      </c>
      <c r="I1053" s="368" t="str">
        <f>VLOOKUP(H1053,'[2]Source Codes'!A$2:B$115,2,FALSE)</f>
        <v>C-IV Voucher/Payments/EBT</v>
      </c>
      <c r="J1053" s="412">
        <v>-11715300.369999999</v>
      </c>
      <c r="K1053" s="385">
        <v>45572</v>
      </c>
      <c r="L1053" s="387" t="s">
        <v>1816</v>
      </c>
      <c r="M1053" s="390">
        <v>45572.869837962964</v>
      </c>
      <c r="N1053" s="367" t="s">
        <v>356</v>
      </c>
      <c r="O1053" s="367" t="s">
        <v>364</v>
      </c>
    </row>
    <row r="1054" spans="1:15" ht="15" hidden="1" outlineLevel="1">
      <c r="B1054" s="384">
        <v>2025</v>
      </c>
      <c r="C1054" s="384">
        <v>4</v>
      </c>
      <c r="D1054" s="367" t="s">
        <v>5</v>
      </c>
      <c r="E1054" s="367" t="s">
        <v>6</v>
      </c>
      <c r="F1054" s="389" t="s">
        <v>1803</v>
      </c>
      <c r="G1054" s="385">
        <v>45566</v>
      </c>
      <c r="H1054" s="367" t="s">
        <v>13</v>
      </c>
      <c r="I1054" s="368" t="str">
        <f>VLOOKUP(H1054,'[2]Source Codes'!A$2:B$115,2,FALSE)</f>
        <v>C-IV Voucher/Payments/EBT</v>
      </c>
      <c r="J1054" s="412">
        <v>-16898641.960000001</v>
      </c>
      <c r="K1054" s="385">
        <v>45572</v>
      </c>
      <c r="L1054" s="387" t="s">
        <v>1817</v>
      </c>
      <c r="M1054" s="390">
        <v>45572.869837962964</v>
      </c>
      <c r="N1054" s="367" t="s">
        <v>356</v>
      </c>
      <c r="O1054" s="367" t="s">
        <v>364</v>
      </c>
    </row>
    <row r="1055" spans="1:15" ht="60" hidden="1" outlineLevel="1">
      <c r="B1055" s="384">
        <v>2025</v>
      </c>
      <c r="C1055" s="384">
        <v>4</v>
      </c>
      <c r="D1055" s="367" t="s">
        <v>5</v>
      </c>
      <c r="E1055" s="367" t="s">
        <v>6</v>
      </c>
      <c r="F1055" s="389" t="s">
        <v>1804</v>
      </c>
      <c r="G1055" s="385">
        <v>45566</v>
      </c>
      <c r="H1055" s="367" t="s">
        <v>9</v>
      </c>
      <c r="I1055" s="368" t="str">
        <f>VLOOKUP(H1055,'[2]Source Codes'!A$2:B$115,2,FALSE)</f>
        <v>On Line Journal Entries</v>
      </c>
      <c r="J1055" s="412">
        <v>-21410345.59</v>
      </c>
      <c r="K1055" s="385">
        <v>45572</v>
      </c>
      <c r="L1055" s="387" t="s">
        <v>1805</v>
      </c>
      <c r="M1055" s="390">
        <v>45572.869814814818</v>
      </c>
      <c r="N1055" s="367" t="s">
        <v>360</v>
      </c>
      <c r="O1055" s="367" t="s">
        <v>371</v>
      </c>
    </row>
    <row r="1056" spans="1:15" ht="12.75" customHeight="1" collapsed="1">
      <c r="J1056" s="413">
        <f>SUM(J1045:J1055)</f>
        <v>-61550791.900000006</v>
      </c>
    </row>
    <row r="1058" spans="1:15" ht="12.75" customHeight="1">
      <c r="A1058" s="378" t="s">
        <v>1809</v>
      </c>
    </row>
    <row r="1059" spans="1:15" ht="30" hidden="1" outlineLevel="1">
      <c r="B1059" s="384">
        <v>2025</v>
      </c>
      <c r="C1059" s="384">
        <v>4</v>
      </c>
      <c r="D1059" s="367" t="s">
        <v>5</v>
      </c>
      <c r="E1059" s="367" t="s">
        <v>6</v>
      </c>
      <c r="F1059" s="389" t="s">
        <v>1810</v>
      </c>
      <c r="G1059" s="385">
        <v>45576</v>
      </c>
      <c r="H1059" s="367" t="s">
        <v>14</v>
      </c>
      <c r="I1059" s="368" t="str">
        <f>VLOOKUP(H1059,'[2]Source Codes'!A$2:B$115,2,FALSE)</f>
        <v>AP Warrant Issuance</v>
      </c>
      <c r="J1059" s="412">
        <v>-1894030.06</v>
      </c>
      <c r="K1059" s="385">
        <v>45574</v>
      </c>
      <c r="L1059" s="387" t="s">
        <v>1818</v>
      </c>
      <c r="M1059" s="390">
        <v>45574.793576388889</v>
      </c>
      <c r="N1059" s="367" t="s">
        <v>356</v>
      </c>
      <c r="O1059" s="367" t="s">
        <v>368</v>
      </c>
    </row>
    <row r="1060" spans="1:15" ht="30" hidden="1" outlineLevel="1">
      <c r="B1060" s="384">
        <v>2025</v>
      </c>
      <c r="C1060" s="384">
        <v>4</v>
      </c>
      <c r="D1060" s="367" t="s">
        <v>5</v>
      </c>
      <c r="E1060" s="367" t="s">
        <v>6</v>
      </c>
      <c r="F1060" s="389" t="s">
        <v>1811</v>
      </c>
      <c r="G1060" s="385">
        <v>45574</v>
      </c>
      <c r="H1060" s="367" t="s">
        <v>14</v>
      </c>
      <c r="I1060" s="368" t="str">
        <f>VLOOKUP(H1060,'[2]Source Codes'!A$2:B$115,2,FALSE)</f>
        <v>AP Warrant Issuance</v>
      </c>
      <c r="J1060" s="412">
        <v>-1318704.93</v>
      </c>
      <c r="K1060" s="385">
        <v>45574</v>
      </c>
      <c r="L1060" s="387" t="s">
        <v>1861</v>
      </c>
      <c r="M1060" s="390">
        <v>45574.793576388889</v>
      </c>
      <c r="N1060" s="367" t="s">
        <v>356</v>
      </c>
      <c r="O1060" s="367" t="s">
        <v>357</v>
      </c>
    </row>
    <row r="1061" spans="1:15" ht="15" hidden="1" outlineLevel="1">
      <c r="B1061" s="384">
        <v>2025</v>
      </c>
      <c r="C1061" s="384">
        <v>4</v>
      </c>
      <c r="D1061" s="367" t="s">
        <v>5</v>
      </c>
      <c r="E1061" s="367" t="s">
        <v>6</v>
      </c>
      <c r="F1061" s="389" t="s">
        <v>1812</v>
      </c>
      <c r="G1061" s="385">
        <v>45567</v>
      </c>
      <c r="H1061" s="367" t="s">
        <v>7</v>
      </c>
      <c r="I1061" s="368" t="str">
        <f>VLOOKUP(H1061,'[2]Source Codes'!A$2:B$115,2,FALSE)</f>
        <v>HRMS Interface Journals</v>
      </c>
      <c r="J1061" s="412">
        <v>-67985615.989999995</v>
      </c>
      <c r="K1061" s="385">
        <v>45574</v>
      </c>
      <c r="L1061" s="387" t="s">
        <v>348</v>
      </c>
      <c r="M1061" s="390">
        <v>45574.313981481479</v>
      </c>
      <c r="N1061" s="367" t="s">
        <v>365</v>
      </c>
      <c r="O1061" s="367" t="s">
        <v>366</v>
      </c>
    </row>
    <row r="1062" spans="1:15" ht="15" hidden="1" outlineLevel="1">
      <c r="B1062" s="384">
        <v>2025</v>
      </c>
      <c r="C1062" s="384">
        <v>4</v>
      </c>
      <c r="D1062" s="367" t="s">
        <v>5</v>
      </c>
      <c r="E1062" s="367" t="s">
        <v>6</v>
      </c>
      <c r="F1062" s="389" t="s">
        <v>1813</v>
      </c>
      <c r="G1062" s="385">
        <v>45568</v>
      </c>
      <c r="H1062" s="367" t="s">
        <v>9</v>
      </c>
      <c r="I1062" s="368" t="str">
        <f>VLOOKUP(H1062,'[2]Source Codes'!A$2:B$115,2,FALSE)</f>
        <v>On Line Journal Entries</v>
      </c>
      <c r="J1062" s="412">
        <v>-68187297.760000005</v>
      </c>
      <c r="K1062" s="385">
        <v>45574</v>
      </c>
      <c r="L1062" s="387" t="s">
        <v>1819</v>
      </c>
      <c r="M1062" s="390">
        <v>45574.654085648152</v>
      </c>
      <c r="N1062" s="367" t="s">
        <v>361</v>
      </c>
      <c r="O1062" s="367" t="s">
        <v>368</v>
      </c>
    </row>
    <row r="1063" spans="1:15" ht="12.75" customHeight="1" collapsed="1">
      <c r="J1063" s="413">
        <f>SUM(J1059:J1062)</f>
        <v>-139385648.74000001</v>
      </c>
    </row>
    <row r="1065" spans="1:15" ht="12.75" customHeight="1">
      <c r="A1065" s="378" t="s">
        <v>1821</v>
      </c>
    </row>
    <row r="1066" spans="1:15" ht="75" hidden="1" outlineLevel="1">
      <c r="B1066" s="384">
        <v>2025</v>
      </c>
      <c r="C1066" s="384">
        <v>4</v>
      </c>
      <c r="D1066" s="367" t="s">
        <v>5</v>
      </c>
      <c r="E1066" s="367" t="s">
        <v>6</v>
      </c>
      <c r="F1066" s="389" t="s">
        <v>1822</v>
      </c>
      <c r="G1066" s="385">
        <v>45580</v>
      </c>
      <c r="H1066" s="367" t="s">
        <v>14</v>
      </c>
      <c r="I1066" s="368" t="str">
        <f>VLOOKUP(H1066,'[2]Source Codes'!A$2:B$115,2,FALSE)</f>
        <v>AP Warrant Issuance</v>
      </c>
      <c r="J1066" s="412">
        <v>-5142260.5599999996</v>
      </c>
      <c r="K1066" s="385">
        <v>45575</v>
      </c>
      <c r="L1066" s="387" t="s">
        <v>1826</v>
      </c>
      <c r="M1066" s="390">
        <v>45575.793773148151</v>
      </c>
      <c r="N1066" s="367" t="s">
        <v>356</v>
      </c>
      <c r="O1066" s="367" t="s">
        <v>364</v>
      </c>
    </row>
    <row r="1067" spans="1:15" ht="75" hidden="1" outlineLevel="1">
      <c r="B1067" s="384">
        <v>2025</v>
      </c>
      <c r="C1067" s="384">
        <v>4</v>
      </c>
      <c r="D1067" s="367" t="s">
        <v>5</v>
      </c>
      <c r="E1067" s="367" t="s">
        <v>6</v>
      </c>
      <c r="F1067" s="389" t="s">
        <v>1823</v>
      </c>
      <c r="G1067" s="385">
        <v>45573</v>
      </c>
      <c r="H1067" s="367" t="s">
        <v>11</v>
      </c>
      <c r="I1067" s="368" t="str">
        <f>VLOOKUP(H1067,'[2]Source Codes'!A$2:B$115,2,FALSE)</f>
        <v>AR Payments</v>
      </c>
      <c r="J1067" s="412">
        <v>6035876.2800000003</v>
      </c>
      <c r="K1067" s="385">
        <v>45575</v>
      </c>
      <c r="L1067" s="387" t="s">
        <v>1827</v>
      </c>
      <c r="M1067" s="390">
        <v>45575.751979166664</v>
      </c>
      <c r="N1067" s="367" t="s">
        <v>356</v>
      </c>
      <c r="O1067" s="367" t="s">
        <v>357</v>
      </c>
    </row>
    <row r="1068" spans="1:15" ht="12.75" hidden="1" customHeight="1" outlineLevel="1">
      <c r="B1068" s="384">
        <v>2025</v>
      </c>
      <c r="C1068" s="384">
        <v>4</v>
      </c>
      <c r="D1068" s="367" t="s">
        <v>5</v>
      </c>
      <c r="E1068" s="367" t="s">
        <v>6</v>
      </c>
      <c r="F1068" s="389" t="s">
        <v>1824</v>
      </c>
      <c r="G1068" s="385">
        <v>45574</v>
      </c>
      <c r="H1068" s="367" t="s">
        <v>337</v>
      </c>
      <c r="I1068" s="368" t="str">
        <f>VLOOKUP(H1068,'[2]Source Codes'!A$2:B$115,2,FALSE)</f>
        <v>Facilities Mngmnt Intfc Jrnls</v>
      </c>
      <c r="J1068" s="412">
        <v>-2249942.7599999998</v>
      </c>
      <c r="K1068" s="385">
        <v>45575</v>
      </c>
      <c r="L1068" s="387" t="s">
        <v>1825</v>
      </c>
      <c r="M1068" s="390">
        <v>45575.586157407408</v>
      </c>
      <c r="N1068" s="367" t="s">
        <v>356</v>
      </c>
      <c r="O1068" s="367" t="s">
        <v>367</v>
      </c>
    </row>
    <row r="1069" spans="1:15" ht="12.75" customHeight="1" collapsed="1">
      <c r="J1069" s="413">
        <f>SUM(J1066:J1068)</f>
        <v>-1356327.0399999991</v>
      </c>
      <c r="M1069" s="390"/>
    </row>
    <row r="1071" spans="1:15" ht="12.75" customHeight="1">
      <c r="A1071" s="378" t="s">
        <v>1828</v>
      </c>
    </row>
    <row r="1072" spans="1:15" ht="60" hidden="1" outlineLevel="1">
      <c r="B1072" s="384">
        <v>2025</v>
      </c>
      <c r="C1072" s="384">
        <v>4</v>
      </c>
      <c r="D1072" s="367" t="s">
        <v>5</v>
      </c>
      <c r="E1072" s="367" t="s">
        <v>6</v>
      </c>
      <c r="F1072" s="389" t="s">
        <v>1829</v>
      </c>
      <c r="G1072" s="385">
        <v>45576</v>
      </c>
      <c r="H1072" s="367" t="s">
        <v>14</v>
      </c>
      <c r="I1072" s="368" t="str">
        <f>VLOOKUP(H1072,'[2]Source Codes'!A$2:B$115,2,FALSE)</f>
        <v>AP Warrant Issuance</v>
      </c>
      <c r="J1072" s="412">
        <v>-1615992</v>
      </c>
      <c r="K1072" s="385">
        <v>45576</v>
      </c>
      <c r="L1072" s="387" t="s">
        <v>1833</v>
      </c>
      <c r="M1072" s="390">
        <v>45576.793587962966</v>
      </c>
      <c r="N1072" s="367" t="s">
        <v>356</v>
      </c>
      <c r="O1072" s="367" t="s">
        <v>370</v>
      </c>
    </row>
    <row r="1073" spans="1:15" ht="45" hidden="1" outlineLevel="1">
      <c r="B1073" s="384">
        <v>2025</v>
      </c>
      <c r="C1073" s="384">
        <v>4</v>
      </c>
      <c r="D1073" s="367" t="s">
        <v>5</v>
      </c>
      <c r="E1073" s="367" t="s">
        <v>6</v>
      </c>
      <c r="F1073" s="389" t="s">
        <v>1830</v>
      </c>
      <c r="G1073" s="385">
        <v>45574</v>
      </c>
      <c r="H1073" s="367" t="s">
        <v>11</v>
      </c>
      <c r="I1073" s="368" t="str">
        <f>VLOOKUP(H1073,'[2]Source Codes'!A$2:B$115,2,FALSE)</f>
        <v>AR Payments</v>
      </c>
      <c r="J1073" s="412">
        <v>3053823.92</v>
      </c>
      <c r="K1073" s="385">
        <v>45576</v>
      </c>
      <c r="L1073" s="387" t="s">
        <v>1834</v>
      </c>
      <c r="M1073" s="390">
        <v>45576.751875000002</v>
      </c>
      <c r="N1073" s="367" t="s">
        <v>356</v>
      </c>
      <c r="O1073" s="367" t="s">
        <v>357</v>
      </c>
    </row>
    <row r="1074" spans="1:15" ht="15" hidden="1" outlineLevel="1">
      <c r="B1074" s="384">
        <v>2025</v>
      </c>
      <c r="C1074" s="384">
        <v>4</v>
      </c>
      <c r="D1074" s="367" t="s">
        <v>5</v>
      </c>
      <c r="E1074" s="367" t="s">
        <v>6</v>
      </c>
      <c r="F1074" s="389" t="s">
        <v>1831</v>
      </c>
      <c r="G1074" s="385">
        <v>45576</v>
      </c>
      <c r="H1074" s="367" t="s">
        <v>9</v>
      </c>
      <c r="I1074" s="368" t="str">
        <f>VLOOKUP(H1074,'[2]Source Codes'!A$2:B$115,2,FALSE)</f>
        <v>On Line Journal Entries</v>
      </c>
      <c r="J1074" s="412">
        <v>-1542083</v>
      </c>
      <c r="K1074" s="385">
        <v>45576</v>
      </c>
      <c r="L1074" s="387" t="s">
        <v>1835</v>
      </c>
      <c r="M1074" s="390">
        <v>45576.869768518518</v>
      </c>
      <c r="N1074" s="367" t="s">
        <v>356</v>
      </c>
      <c r="O1074" s="367" t="s">
        <v>368</v>
      </c>
    </row>
    <row r="1075" spans="1:15" ht="15" hidden="1" outlineLevel="1">
      <c r="B1075" s="384">
        <v>2025</v>
      </c>
      <c r="C1075" s="384">
        <v>4</v>
      </c>
      <c r="D1075" s="367" t="s">
        <v>5</v>
      </c>
      <c r="E1075" s="367" t="s">
        <v>6</v>
      </c>
      <c r="F1075" s="389" t="s">
        <v>1832</v>
      </c>
      <c r="G1075" s="385">
        <v>45573</v>
      </c>
      <c r="H1075" s="367" t="s">
        <v>337</v>
      </c>
      <c r="I1075" s="368" t="str">
        <f>VLOOKUP(H1075,'[2]Source Codes'!A$2:B$115,2,FALSE)</f>
        <v>Facilities Mngmnt Intfc Jrnls</v>
      </c>
      <c r="J1075" s="412">
        <v>-5347427.1900000004</v>
      </c>
      <c r="K1075" s="385">
        <v>45576</v>
      </c>
      <c r="L1075" s="387" t="s">
        <v>1836</v>
      </c>
      <c r="M1075" s="390">
        <v>45576.465081018519</v>
      </c>
      <c r="N1075" s="367" t="s">
        <v>356</v>
      </c>
      <c r="O1075" s="367" t="s">
        <v>367</v>
      </c>
    </row>
    <row r="1076" spans="1:15" ht="12.75" customHeight="1" collapsed="1">
      <c r="J1076" s="413">
        <f>SUM(J1072:J1075)</f>
        <v>-5451678.2700000005</v>
      </c>
    </row>
    <row r="1078" spans="1:15" ht="12.75" customHeight="1">
      <c r="A1078" s="378" t="s">
        <v>1837</v>
      </c>
    </row>
    <row r="1079" spans="1:15" ht="30" hidden="1" outlineLevel="2">
      <c r="B1079" s="384">
        <v>2025</v>
      </c>
      <c r="C1079" s="384">
        <v>4</v>
      </c>
      <c r="D1079" s="367" t="s">
        <v>5</v>
      </c>
      <c r="E1079" s="367" t="s">
        <v>6</v>
      </c>
      <c r="F1079" s="389" t="s">
        <v>1838</v>
      </c>
      <c r="G1079" s="385">
        <v>45576</v>
      </c>
      <c r="H1079" s="367" t="s">
        <v>12</v>
      </c>
      <c r="I1079" s="368" t="str">
        <f>VLOOKUP(H1079,'[2]Source Codes'!A$2:B$115,2,FALSE)</f>
        <v>AR Direct Cash Journal</v>
      </c>
      <c r="J1079" s="412">
        <v>2371175.92</v>
      </c>
      <c r="K1079" s="385">
        <v>45580</v>
      </c>
      <c r="L1079" s="387" t="s">
        <v>1842</v>
      </c>
      <c r="M1079" s="390">
        <v>45580.752002314817</v>
      </c>
      <c r="N1079" s="367" t="s">
        <v>356</v>
      </c>
      <c r="O1079" s="367" t="s">
        <v>370</v>
      </c>
    </row>
    <row r="1080" spans="1:15" ht="30" hidden="1" outlineLevel="2">
      <c r="B1080" s="384">
        <v>2025</v>
      </c>
      <c r="C1080" s="384">
        <v>4</v>
      </c>
      <c r="D1080" s="367" t="s">
        <v>5</v>
      </c>
      <c r="E1080" s="367" t="s">
        <v>6</v>
      </c>
      <c r="F1080" s="389" t="s">
        <v>1839</v>
      </c>
      <c r="G1080" s="385">
        <v>45580</v>
      </c>
      <c r="H1080" s="367" t="s">
        <v>11</v>
      </c>
      <c r="I1080" s="368" t="str">
        <f>VLOOKUP(H1080,'[2]Source Codes'!A$2:B$115,2,FALSE)</f>
        <v>AR Payments</v>
      </c>
      <c r="J1080" s="412">
        <v>1410268.81</v>
      </c>
      <c r="K1080" s="385">
        <v>45580</v>
      </c>
      <c r="L1080" s="387" t="s">
        <v>1843</v>
      </c>
      <c r="M1080" s="390">
        <v>45580.752002314817</v>
      </c>
      <c r="N1080" s="367" t="s">
        <v>356</v>
      </c>
      <c r="O1080" s="367" t="s">
        <v>357</v>
      </c>
    </row>
    <row r="1081" spans="1:15" ht="30" hidden="1" outlineLevel="2">
      <c r="B1081" s="384">
        <v>2025</v>
      </c>
      <c r="C1081" s="384">
        <v>4</v>
      </c>
      <c r="D1081" s="367" t="s">
        <v>5</v>
      </c>
      <c r="E1081" s="367" t="s">
        <v>6</v>
      </c>
      <c r="F1081" s="389" t="s">
        <v>1840</v>
      </c>
      <c r="G1081" s="385">
        <v>45575</v>
      </c>
      <c r="H1081" s="367" t="s">
        <v>9</v>
      </c>
      <c r="I1081" s="368" t="str">
        <f>VLOOKUP(H1081,'[2]Source Codes'!A$2:B$115,2,FALSE)</f>
        <v>On Line Journal Entries</v>
      </c>
      <c r="J1081" s="412">
        <v>4701016</v>
      </c>
      <c r="K1081" s="385">
        <v>45580</v>
      </c>
      <c r="L1081" s="387" t="s">
        <v>1841</v>
      </c>
      <c r="M1081" s="390">
        <v>45580.869710648149</v>
      </c>
      <c r="N1081" s="367" t="s">
        <v>507</v>
      </c>
      <c r="O1081" s="367" t="s">
        <v>367</v>
      </c>
    </row>
    <row r="1082" spans="1:15" ht="12.75" customHeight="1" collapsed="1">
      <c r="J1082" s="413">
        <f>SUM(J1079:J1081)</f>
        <v>8482460.7300000004</v>
      </c>
    </row>
    <row r="1084" spans="1:15" ht="12.75" customHeight="1">
      <c r="A1084" s="378" t="s">
        <v>1844</v>
      </c>
    </row>
    <row r="1085" spans="1:15" ht="12.75" hidden="1" customHeight="1" outlineLevel="1">
      <c r="B1085" s="384">
        <v>2025</v>
      </c>
      <c r="C1085" s="384">
        <v>4</v>
      </c>
      <c r="D1085" s="367" t="s">
        <v>5</v>
      </c>
      <c r="E1085" s="367" t="s">
        <v>6</v>
      </c>
      <c r="F1085" s="389" t="s">
        <v>1845</v>
      </c>
      <c r="G1085" s="385">
        <v>45580</v>
      </c>
      <c r="H1085" s="367" t="s">
        <v>9</v>
      </c>
      <c r="I1085" s="368" t="str">
        <f>VLOOKUP(H1085,'[2]Source Codes'!A$2:B$115,2,FALSE)</f>
        <v>On Line Journal Entries</v>
      </c>
      <c r="J1085" s="412">
        <v>4352469</v>
      </c>
      <c r="K1085" s="385">
        <v>45581</v>
      </c>
      <c r="L1085" s="387" t="s">
        <v>1846</v>
      </c>
      <c r="M1085" s="390">
        <v>45581.869849537034</v>
      </c>
      <c r="N1085" s="367" t="s">
        <v>356</v>
      </c>
      <c r="O1085" s="367" t="s">
        <v>369</v>
      </c>
    </row>
    <row r="1086" spans="1:15" ht="12.75" hidden="1" customHeight="1" outlineLevel="1">
      <c r="B1086" s="384">
        <v>2025</v>
      </c>
      <c r="C1086" s="384">
        <v>4</v>
      </c>
      <c r="D1086" s="367" t="s">
        <v>5</v>
      </c>
      <c r="E1086" s="367" t="s">
        <v>6</v>
      </c>
      <c r="F1086" s="389" t="s">
        <v>1847</v>
      </c>
      <c r="G1086" s="385">
        <v>45580</v>
      </c>
      <c r="H1086" s="367" t="s">
        <v>337</v>
      </c>
      <c r="I1086" s="368" t="str">
        <f>VLOOKUP(H1086,'[2]Source Codes'!A$2:B$115,2,FALSE)</f>
        <v>Facilities Mngmnt Intfc Jrnls</v>
      </c>
      <c r="J1086" s="412">
        <v>-4110470.01</v>
      </c>
      <c r="K1086" s="385">
        <v>45581</v>
      </c>
      <c r="L1086" s="387" t="s">
        <v>1848</v>
      </c>
      <c r="M1086" s="390">
        <v>45581.461168981485</v>
      </c>
      <c r="N1086" s="367" t="s">
        <v>356</v>
      </c>
      <c r="O1086" s="367" t="s">
        <v>367</v>
      </c>
    </row>
    <row r="1087" spans="1:15" ht="12.75" customHeight="1" collapsed="1">
      <c r="J1087" s="413">
        <f>SUM(J1085:J1086)</f>
        <v>241998.99000000022</v>
      </c>
    </row>
    <row r="1089" spans="1:15" ht="12.75" customHeight="1">
      <c r="A1089" s="378" t="s">
        <v>1852</v>
      </c>
    </row>
    <row r="1090" spans="1:15" ht="30" hidden="1" outlineLevel="1">
      <c r="B1090" s="384">
        <v>2025</v>
      </c>
      <c r="C1090" s="384">
        <v>4</v>
      </c>
      <c r="D1090" s="367" t="s">
        <v>5</v>
      </c>
      <c r="E1090" s="367" t="s">
        <v>6</v>
      </c>
      <c r="F1090" s="389" t="s">
        <v>1853</v>
      </c>
      <c r="G1090" s="385">
        <v>45586</v>
      </c>
      <c r="H1090" s="367" t="s">
        <v>14</v>
      </c>
      <c r="I1090" s="368" t="str">
        <f>VLOOKUP(H1090,'[2]Source Codes'!A$2:B$115,2,FALSE)</f>
        <v>AP Warrant Issuance</v>
      </c>
      <c r="J1090" s="412">
        <v>-3723236.17</v>
      </c>
      <c r="K1090" s="385">
        <v>45586</v>
      </c>
      <c r="L1090" s="387" t="s">
        <v>1867</v>
      </c>
      <c r="M1090" s="390">
        <v>45586.793703703705</v>
      </c>
      <c r="N1090" s="367" t="s">
        <v>361</v>
      </c>
      <c r="O1090" s="367" t="s">
        <v>363</v>
      </c>
    </row>
    <row r="1091" spans="1:15" ht="45" hidden="1" outlineLevel="1">
      <c r="B1091" s="384">
        <v>2025</v>
      </c>
      <c r="C1091" s="384">
        <v>4</v>
      </c>
      <c r="D1091" s="367" t="s">
        <v>5</v>
      </c>
      <c r="E1091" s="367" t="s">
        <v>6</v>
      </c>
      <c r="F1091" s="389" t="s">
        <v>1854</v>
      </c>
      <c r="G1091" s="385">
        <v>45588</v>
      </c>
      <c r="H1091" s="367" t="s">
        <v>14</v>
      </c>
      <c r="I1091" s="368" t="str">
        <f>VLOOKUP(H1091,'[2]Source Codes'!A$2:B$115,2,FALSE)</f>
        <v>AP Warrant Issuance</v>
      </c>
      <c r="J1091" s="412">
        <v>-1723411.29</v>
      </c>
      <c r="K1091" s="385">
        <v>45586</v>
      </c>
      <c r="L1091" s="387" t="s">
        <v>1863</v>
      </c>
      <c r="M1091" s="390">
        <v>45586.793703703705</v>
      </c>
      <c r="N1091" s="367" t="s">
        <v>356</v>
      </c>
      <c r="O1091" s="367" t="s">
        <v>357</v>
      </c>
    </row>
    <row r="1092" spans="1:15" ht="30" hidden="1" outlineLevel="1">
      <c r="B1092" s="384">
        <v>2025</v>
      </c>
      <c r="C1092" s="384">
        <v>4</v>
      </c>
      <c r="D1092" s="367" t="s">
        <v>5</v>
      </c>
      <c r="E1092" s="367" t="s">
        <v>6</v>
      </c>
      <c r="F1092" s="389" t="s">
        <v>1855</v>
      </c>
      <c r="G1092" s="385">
        <v>45588</v>
      </c>
      <c r="H1092" s="367" t="s">
        <v>14</v>
      </c>
      <c r="I1092" s="368" t="str">
        <f>VLOOKUP(H1092,'[2]Source Codes'!A$2:B$115,2,FALSE)</f>
        <v>AP Warrant Issuance</v>
      </c>
      <c r="J1092" s="412">
        <v>-1572136.85</v>
      </c>
      <c r="K1092" s="385">
        <v>45586</v>
      </c>
      <c r="L1092" s="387" t="s">
        <v>1862</v>
      </c>
      <c r="M1092" s="390">
        <v>45586.793703703705</v>
      </c>
      <c r="N1092" s="367" t="s">
        <v>356</v>
      </c>
      <c r="O1092" s="367" t="s">
        <v>368</v>
      </c>
    </row>
    <row r="1093" spans="1:15" ht="60" hidden="1" outlineLevel="1">
      <c r="B1093" s="384">
        <v>2025</v>
      </c>
      <c r="C1093" s="384">
        <v>4</v>
      </c>
      <c r="D1093" s="367" t="s">
        <v>5</v>
      </c>
      <c r="E1093" s="367" t="s">
        <v>6</v>
      </c>
      <c r="F1093" s="389" t="s">
        <v>1856</v>
      </c>
      <c r="G1093" s="385">
        <v>45582</v>
      </c>
      <c r="H1093" s="367" t="s">
        <v>12</v>
      </c>
      <c r="I1093" s="368" t="str">
        <f>VLOOKUP(H1093,'[2]Source Codes'!A$2:B$115,2,FALSE)</f>
        <v>AR Direct Cash Journal</v>
      </c>
      <c r="J1093" s="412">
        <v>2023698.28</v>
      </c>
      <c r="K1093" s="385">
        <v>45586</v>
      </c>
      <c r="L1093" s="387" t="s">
        <v>1864</v>
      </c>
      <c r="M1093" s="390">
        <v>45586.751828703702</v>
      </c>
      <c r="N1093" s="367" t="s">
        <v>356</v>
      </c>
      <c r="O1093" s="367" t="s">
        <v>370</v>
      </c>
    </row>
    <row r="1094" spans="1:15" ht="30" hidden="1" outlineLevel="1">
      <c r="B1094" s="384">
        <v>2025</v>
      </c>
      <c r="C1094" s="384">
        <v>4</v>
      </c>
      <c r="D1094" s="367" t="s">
        <v>5</v>
      </c>
      <c r="E1094" s="367" t="s">
        <v>6</v>
      </c>
      <c r="F1094" s="389" t="s">
        <v>1857</v>
      </c>
      <c r="G1094" s="385">
        <v>45573</v>
      </c>
      <c r="H1094" s="367" t="s">
        <v>9</v>
      </c>
      <c r="I1094" s="368" t="str">
        <f>VLOOKUP(H1094,'[2]Source Codes'!A$2:B$115,2,FALSE)</f>
        <v>On Line Journal Entries</v>
      </c>
      <c r="J1094" s="412">
        <v>5388978</v>
      </c>
      <c r="K1094" s="385">
        <v>45586</v>
      </c>
      <c r="L1094" s="387" t="s">
        <v>1865</v>
      </c>
      <c r="M1094" s="390">
        <v>45586.86986111111</v>
      </c>
      <c r="N1094" s="367" t="s">
        <v>356</v>
      </c>
      <c r="O1094" s="367" t="s">
        <v>364</v>
      </c>
    </row>
    <row r="1095" spans="1:15" ht="30" hidden="1" outlineLevel="1">
      <c r="B1095" s="384">
        <v>2025</v>
      </c>
      <c r="C1095" s="384">
        <v>4</v>
      </c>
      <c r="D1095" s="367" t="s">
        <v>5</v>
      </c>
      <c r="E1095" s="367" t="s">
        <v>6</v>
      </c>
      <c r="F1095" s="389" t="s">
        <v>1858</v>
      </c>
      <c r="G1095" s="385">
        <v>45573</v>
      </c>
      <c r="H1095" s="367" t="s">
        <v>9</v>
      </c>
      <c r="I1095" s="368" t="str">
        <f>VLOOKUP(H1095,'[2]Source Codes'!A$2:B$115,2,FALSE)</f>
        <v>On Line Journal Entries</v>
      </c>
      <c r="J1095" s="412">
        <v>5371440</v>
      </c>
      <c r="K1095" s="385">
        <v>45586</v>
      </c>
      <c r="L1095" s="387" t="s">
        <v>1865</v>
      </c>
      <c r="M1095" s="390">
        <v>45586.86986111111</v>
      </c>
      <c r="N1095" s="367" t="s">
        <v>356</v>
      </c>
      <c r="O1095" s="367" t="s">
        <v>364</v>
      </c>
    </row>
    <row r="1096" spans="1:15" ht="60" hidden="1" outlineLevel="1">
      <c r="B1096" s="384">
        <v>2025</v>
      </c>
      <c r="C1096" s="384">
        <v>4</v>
      </c>
      <c r="D1096" s="367" t="s">
        <v>5</v>
      </c>
      <c r="E1096" s="367" t="s">
        <v>6</v>
      </c>
      <c r="F1096" s="389" t="s">
        <v>1859</v>
      </c>
      <c r="G1096" s="385">
        <v>45581</v>
      </c>
      <c r="H1096" s="367" t="s">
        <v>9</v>
      </c>
      <c r="I1096" s="368" t="str">
        <f>VLOOKUP(H1096,'[2]Source Codes'!A$2:B$115,2,FALSE)</f>
        <v>On Line Journal Entries</v>
      </c>
      <c r="J1096" s="412">
        <v>4273846</v>
      </c>
      <c r="K1096" s="385">
        <v>45586</v>
      </c>
      <c r="L1096" s="387" t="s">
        <v>1866</v>
      </c>
      <c r="M1096" s="390">
        <v>45586.86986111111</v>
      </c>
      <c r="N1096" s="367" t="s">
        <v>356</v>
      </c>
      <c r="O1096" s="367" t="s">
        <v>364</v>
      </c>
    </row>
    <row r="1097" spans="1:15" ht="30" hidden="1" outlineLevel="1">
      <c r="B1097" s="384">
        <v>2025</v>
      </c>
      <c r="C1097" s="384">
        <v>4</v>
      </c>
      <c r="D1097" s="367" t="s">
        <v>5</v>
      </c>
      <c r="E1097" s="367" t="s">
        <v>6</v>
      </c>
      <c r="F1097" s="389" t="s">
        <v>1860</v>
      </c>
      <c r="G1097" s="385">
        <v>45566</v>
      </c>
      <c r="H1097" s="367" t="s">
        <v>9</v>
      </c>
      <c r="I1097" s="368" t="str">
        <f>VLOOKUP(H1097,'[2]Source Codes'!A$2:B$115,2,FALSE)</f>
        <v>On Line Journal Entries</v>
      </c>
      <c r="J1097" s="412">
        <v>-5075223.83</v>
      </c>
      <c r="K1097" s="385">
        <v>45586</v>
      </c>
      <c r="L1097" s="387" t="s">
        <v>1875</v>
      </c>
      <c r="M1097" s="390">
        <v>45586.557743055557</v>
      </c>
      <c r="N1097" s="367" t="s">
        <v>356</v>
      </c>
      <c r="O1097" s="367" t="s">
        <v>374</v>
      </c>
    </row>
    <row r="1098" spans="1:15" ht="12.75" customHeight="1" collapsed="1">
      <c r="J1098" s="413">
        <f>SUM(J1090:J1097)</f>
        <v>4963954.1399999987</v>
      </c>
    </row>
    <row r="1100" spans="1:15" ht="12.75" customHeight="1">
      <c r="A1100" s="378" t="s">
        <v>1868</v>
      </c>
    </row>
    <row r="1101" spans="1:15" ht="30" hidden="1" outlineLevel="1">
      <c r="B1101" s="384">
        <v>2025</v>
      </c>
      <c r="C1101" s="384">
        <v>4</v>
      </c>
      <c r="D1101" s="367" t="s">
        <v>5</v>
      </c>
      <c r="E1101" s="367" t="s">
        <v>6</v>
      </c>
      <c r="F1101" s="389" t="s">
        <v>1869</v>
      </c>
      <c r="G1101" s="385">
        <v>45589</v>
      </c>
      <c r="H1101" s="367" t="s">
        <v>14</v>
      </c>
      <c r="I1101" s="368" t="str">
        <f>VLOOKUP(H1101,'[2]Source Codes'!A$2:B$115,2,FALSE)</f>
        <v>AP Warrant Issuance</v>
      </c>
      <c r="J1101" s="412">
        <v>-2456401.69</v>
      </c>
      <c r="K1101" s="385">
        <v>45587</v>
      </c>
      <c r="L1101" s="387" t="s">
        <v>1878</v>
      </c>
      <c r="M1101" s="390">
        <v>45587.793715277781</v>
      </c>
      <c r="N1101" s="367" t="s">
        <v>356</v>
      </c>
      <c r="O1101" s="367" t="s">
        <v>368</v>
      </c>
    </row>
    <row r="1102" spans="1:15" ht="30" hidden="1" outlineLevel="1">
      <c r="B1102" s="384">
        <v>2025</v>
      </c>
      <c r="C1102" s="384">
        <v>4</v>
      </c>
      <c r="D1102" s="367" t="s">
        <v>5</v>
      </c>
      <c r="E1102" s="367" t="s">
        <v>6</v>
      </c>
      <c r="F1102" s="389" t="s">
        <v>1870</v>
      </c>
      <c r="G1102" s="385">
        <v>45587</v>
      </c>
      <c r="H1102" s="367" t="s">
        <v>14</v>
      </c>
      <c r="I1102" s="368" t="str">
        <f>VLOOKUP(H1102,'[2]Source Codes'!A$2:B$115,2,FALSE)</f>
        <v>AP Warrant Issuance</v>
      </c>
      <c r="J1102" s="412">
        <v>-1728199.09</v>
      </c>
      <c r="K1102" s="385">
        <v>45587</v>
      </c>
      <c r="L1102" s="387" t="s">
        <v>1879</v>
      </c>
      <c r="M1102" s="390">
        <v>45587.793715277781</v>
      </c>
      <c r="N1102" s="367" t="s">
        <v>356</v>
      </c>
      <c r="O1102" s="367" t="s">
        <v>368</v>
      </c>
    </row>
    <row r="1103" spans="1:15" ht="30" hidden="1" outlineLevel="1">
      <c r="B1103" s="384">
        <v>2025</v>
      </c>
      <c r="C1103" s="384">
        <v>4</v>
      </c>
      <c r="D1103" s="367" t="s">
        <v>5</v>
      </c>
      <c r="E1103" s="367" t="s">
        <v>6</v>
      </c>
      <c r="F1103" s="389" t="s">
        <v>1871</v>
      </c>
      <c r="G1103" s="385">
        <v>45580</v>
      </c>
      <c r="H1103" s="367" t="s">
        <v>12</v>
      </c>
      <c r="I1103" s="368" t="str">
        <f>VLOOKUP(H1103,'[2]Source Codes'!A$2:B$115,2,FALSE)</f>
        <v>AR Direct Cash Journal</v>
      </c>
      <c r="J1103" s="412">
        <v>4082466.33</v>
      </c>
      <c r="K1103" s="385">
        <v>45587</v>
      </c>
      <c r="L1103" s="387" t="s">
        <v>1880</v>
      </c>
      <c r="M1103" s="390">
        <v>45587.751944444448</v>
      </c>
      <c r="N1103" s="367" t="s">
        <v>356</v>
      </c>
      <c r="O1103" s="367" t="s">
        <v>370</v>
      </c>
    </row>
    <row r="1104" spans="1:15" ht="15" hidden="1" outlineLevel="1">
      <c r="B1104" s="384">
        <v>2025</v>
      </c>
      <c r="C1104" s="384">
        <v>4</v>
      </c>
      <c r="D1104" s="367" t="s">
        <v>5</v>
      </c>
      <c r="E1104" s="367" t="s">
        <v>6</v>
      </c>
      <c r="F1104" s="389" t="s">
        <v>1872</v>
      </c>
      <c r="G1104" s="385">
        <v>45582</v>
      </c>
      <c r="H1104" s="367" t="s">
        <v>7</v>
      </c>
      <c r="I1104" s="368" t="str">
        <f>VLOOKUP(H1104,'[2]Source Codes'!A$2:B$115,2,FALSE)</f>
        <v>HRMS Interface Journals</v>
      </c>
      <c r="J1104" s="412">
        <v>-1051521.3400000001</v>
      </c>
      <c r="K1104" s="385">
        <v>45587</v>
      </c>
      <c r="L1104" s="387" t="s">
        <v>348</v>
      </c>
      <c r="M1104" s="390">
        <v>45587.318622685183</v>
      </c>
      <c r="N1104" s="367" t="s">
        <v>365</v>
      </c>
      <c r="O1104" s="367" t="s">
        <v>366</v>
      </c>
    </row>
    <row r="1105" spans="1:15" ht="15" hidden="1" outlineLevel="1">
      <c r="B1105" s="384">
        <v>2025</v>
      </c>
      <c r="C1105" s="384">
        <v>4</v>
      </c>
      <c r="D1105" s="367" t="s">
        <v>5</v>
      </c>
      <c r="E1105" s="367" t="s">
        <v>6</v>
      </c>
      <c r="F1105" s="389" t="s">
        <v>1873</v>
      </c>
      <c r="G1105" s="385">
        <v>45574</v>
      </c>
      <c r="H1105" s="367" t="s">
        <v>8</v>
      </c>
      <c r="I1105" s="368" t="str">
        <f>VLOOKUP(H1105,'[2]Source Codes'!A$2:B$115,2,FALSE)</f>
        <v>Prch,Cntrl Mail,Flt,Prntg,Sply</v>
      </c>
      <c r="J1105" s="412">
        <v>-2618173.02</v>
      </c>
      <c r="K1105" s="385">
        <v>45587</v>
      </c>
      <c r="L1105" s="387" t="s">
        <v>1876</v>
      </c>
      <c r="M1105" s="390">
        <v>45587.454050925924</v>
      </c>
      <c r="N1105" s="367" t="s">
        <v>356</v>
      </c>
      <c r="O1105" s="367" t="s">
        <v>367</v>
      </c>
    </row>
    <row r="1106" spans="1:15" ht="45" hidden="1" outlineLevel="1">
      <c r="B1106" s="384">
        <v>2025</v>
      </c>
      <c r="C1106" s="384">
        <v>4</v>
      </c>
      <c r="D1106" s="367" t="s">
        <v>5</v>
      </c>
      <c r="E1106" s="367" t="s">
        <v>6</v>
      </c>
      <c r="F1106" s="389" t="s">
        <v>1874</v>
      </c>
      <c r="G1106" s="385">
        <v>45587</v>
      </c>
      <c r="H1106" s="367" t="s">
        <v>9</v>
      </c>
      <c r="I1106" s="368" t="str">
        <f>VLOOKUP(H1106,'[2]Source Codes'!A$2:B$115,2,FALSE)</f>
        <v>On Line Journal Entries</v>
      </c>
      <c r="J1106" s="412">
        <v>-6660875</v>
      </c>
      <c r="K1106" s="385">
        <v>45587</v>
      </c>
      <c r="L1106" s="387" t="s">
        <v>1877</v>
      </c>
      <c r="M1106" s="390">
        <v>45587.870613425926</v>
      </c>
      <c r="N1106" s="367" t="s">
        <v>356</v>
      </c>
      <c r="O1106" s="367" t="s">
        <v>368</v>
      </c>
    </row>
    <row r="1107" spans="1:15" ht="12.75" customHeight="1" collapsed="1">
      <c r="J1107" s="413">
        <f>SUM(J1101:J1106)</f>
        <v>-10432703.810000001</v>
      </c>
    </row>
    <row r="1109" spans="1:15" ht="12.75" customHeight="1">
      <c r="A1109" s="378" t="s">
        <v>1881</v>
      </c>
    </row>
    <row r="1110" spans="1:15" ht="30" hidden="1" outlineLevel="1">
      <c r="B1110" s="384">
        <v>2025</v>
      </c>
      <c r="C1110" s="384">
        <v>4</v>
      </c>
      <c r="D1110" s="367" t="s">
        <v>5</v>
      </c>
      <c r="E1110" s="367" t="s">
        <v>6</v>
      </c>
      <c r="F1110" s="389" t="s">
        <v>1882</v>
      </c>
      <c r="G1110" s="385">
        <v>45582</v>
      </c>
      <c r="H1110" s="367" t="s">
        <v>11</v>
      </c>
      <c r="I1110" s="368" t="str">
        <f>VLOOKUP(H1110,'[2]Source Codes'!A$2:B$115,2,FALSE)</f>
        <v>AR Payments</v>
      </c>
      <c r="J1110" s="412">
        <v>3967873.63</v>
      </c>
      <c r="K1110" s="385">
        <v>45588</v>
      </c>
      <c r="L1110" s="387" t="s">
        <v>393</v>
      </c>
      <c r="M1110" s="390">
        <v>45588.751932870371</v>
      </c>
      <c r="N1110" s="367" t="s">
        <v>356</v>
      </c>
      <c r="O1110" s="367" t="s">
        <v>357</v>
      </c>
    </row>
    <row r="1111" spans="1:15" ht="15" hidden="1" outlineLevel="1">
      <c r="B1111" s="384">
        <v>2025</v>
      </c>
      <c r="C1111" s="384">
        <v>4</v>
      </c>
      <c r="D1111" s="367" t="s">
        <v>5</v>
      </c>
      <c r="E1111" s="367" t="s">
        <v>6</v>
      </c>
      <c r="F1111" s="389" t="s">
        <v>1883</v>
      </c>
      <c r="G1111" s="385">
        <v>45582</v>
      </c>
      <c r="H1111" s="367" t="s">
        <v>16</v>
      </c>
      <c r="I1111" s="368" t="str">
        <f>VLOOKUP(H1111,'[2]Source Codes'!A$2:B$115,2,FALSE)</f>
        <v>Property Tax Interface</v>
      </c>
      <c r="J1111" s="412">
        <v>7412180.8499999996</v>
      </c>
      <c r="K1111" s="385">
        <v>45588</v>
      </c>
      <c r="L1111" s="387" t="s">
        <v>1884</v>
      </c>
      <c r="M1111" s="390">
        <v>45588.370243055557</v>
      </c>
      <c r="N1111" s="367" t="s">
        <v>387</v>
      </c>
      <c r="O1111" s="367" t="s">
        <v>384</v>
      </c>
    </row>
    <row r="1112" spans="1:15" ht="15" hidden="1" outlineLevel="1">
      <c r="B1112" s="384">
        <v>2025</v>
      </c>
      <c r="C1112" s="384">
        <v>4</v>
      </c>
      <c r="D1112" s="367" t="s">
        <v>5</v>
      </c>
      <c r="E1112" s="367" t="s">
        <v>6</v>
      </c>
      <c r="F1112" s="389" t="s">
        <v>1885</v>
      </c>
      <c r="G1112" s="385">
        <v>45581</v>
      </c>
      <c r="H1112" s="367" t="s">
        <v>7</v>
      </c>
      <c r="I1112" s="368" t="str">
        <f>VLOOKUP(H1112,'[2]Source Codes'!A$2:B$115,2,FALSE)</f>
        <v>HRMS Interface Journals</v>
      </c>
      <c r="J1112" s="412">
        <v>-2313506.4</v>
      </c>
      <c r="K1112" s="385">
        <v>45588</v>
      </c>
      <c r="L1112" s="387" t="s">
        <v>409</v>
      </c>
      <c r="M1112" s="390">
        <v>45588.323321759257</v>
      </c>
      <c r="N1112" s="367" t="s">
        <v>378</v>
      </c>
      <c r="O1112" s="367" t="s">
        <v>366</v>
      </c>
    </row>
    <row r="1113" spans="1:15" ht="15" hidden="1" outlineLevel="1">
      <c r="B1113" s="384">
        <v>2025</v>
      </c>
      <c r="C1113" s="384">
        <v>4</v>
      </c>
      <c r="D1113" s="367" t="s">
        <v>5</v>
      </c>
      <c r="E1113" s="367" t="s">
        <v>6</v>
      </c>
      <c r="F1113" s="389" t="s">
        <v>1886</v>
      </c>
      <c r="G1113" s="385">
        <v>45581</v>
      </c>
      <c r="H1113" s="367" t="s">
        <v>7</v>
      </c>
      <c r="I1113" s="368" t="str">
        <f>VLOOKUP(H1113,'[2]Source Codes'!A$2:B$115,2,FALSE)</f>
        <v>HRMS Interface Journals</v>
      </c>
      <c r="J1113" s="412">
        <v>-10475132.289999999</v>
      </c>
      <c r="K1113" s="385">
        <v>45588</v>
      </c>
      <c r="L1113" s="387" t="s">
        <v>1887</v>
      </c>
      <c r="M1113" s="390">
        <v>45588.318194444444</v>
      </c>
      <c r="N1113" s="367" t="s">
        <v>378</v>
      </c>
      <c r="O1113" s="367" t="s">
        <v>366</v>
      </c>
    </row>
    <row r="1114" spans="1:15" ht="12.75" customHeight="1" collapsed="1">
      <c r="J1114" s="413">
        <f>SUM(J1110:J1113)</f>
        <v>-1408584.209999999</v>
      </c>
    </row>
    <row r="1116" spans="1:15" ht="12.75" customHeight="1">
      <c r="A1116" s="378" t="s">
        <v>1888</v>
      </c>
    </row>
    <row r="1117" spans="1:15" ht="30" hidden="1" outlineLevel="1">
      <c r="B1117" s="384">
        <v>2025</v>
      </c>
      <c r="C1117" s="384">
        <v>4</v>
      </c>
      <c r="D1117" s="367" t="s">
        <v>5</v>
      </c>
      <c r="E1117" s="367" t="s">
        <v>6</v>
      </c>
      <c r="F1117" s="389" t="s">
        <v>1889</v>
      </c>
      <c r="G1117" s="385">
        <v>45589</v>
      </c>
      <c r="H1117" s="367" t="s">
        <v>12</v>
      </c>
      <c r="I1117" s="368" t="str">
        <f>VLOOKUP(H1117,'[2]Source Codes'!A$2:B$115,2,FALSE)</f>
        <v>AR Direct Cash Journal</v>
      </c>
      <c r="J1117" s="412">
        <v>3418462.29</v>
      </c>
      <c r="K1117" s="385">
        <v>45589</v>
      </c>
      <c r="L1117" s="387" t="s">
        <v>1900</v>
      </c>
      <c r="M1117" s="390">
        <v>45589.751782407409</v>
      </c>
      <c r="N1117" s="367" t="s">
        <v>356</v>
      </c>
      <c r="O1117" s="367" t="s">
        <v>371</v>
      </c>
    </row>
    <row r="1118" spans="1:15" ht="45" hidden="1" outlineLevel="1">
      <c r="B1118" s="384">
        <v>2025</v>
      </c>
      <c r="C1118" s="384">
        <v>4</v>
      </c>
      <c r="D1118" s="367" t="s">
        <v>5</v>
      </c>
      <c r="E1118" s="367" t="s">
        <v>6</v>
      </c>
      <c r="F1118" s="389" t="s">
        <v>1890</v>
      </c>
      <c r="G1118" s="385">
        <v>45581</v>
      </c>
      <c r="H1118" s="367" t="s">
        <v>12</v>
      </c>
      <c r="I1118" s="368" t="str">
        <f>VLOOKUP(H1118,'[2]Source Codes'!A$2:B$115,2,FALSE)</f>
        <v>AR Direct Cash Journal</v>
      </c>
      <c r="J1118" s="412">
        <v>5120856.4000000004</v>
      </c>
      <c r="K1118" s="385">
        <v>45589</v>
      </c>
      <c r="L1118" s="387" t="s">
        <v>1944</v>
      </c>
      <c r="M1118" s="390">
        <v>45589.751782407409</v>
      </c>
      <c r="N1118" s="367" t="s">
        <v>356</v>
      </c>
      <c r="O1118" s="367" t="s">
        <v>362</v>
      </c>
    </row>
    <row r="1119" spans="1:15" ht="15" hidden="1" outlineLevel="1">
      <c r="B1119" s="384">
        <v>2025</v>
      </c>
      <c r="C1119" s="384">
        <v>4</v>
      </c>
      <c r="D1119" s="367" t="s">
        <v>5</v>
      </c>
      <c r="E1119" s="367" t="s">
        <v>6</v>
      </c>
      <c r="F1119" s="389" t="s">
        <v>1891</v>
      </c>
      <c r="G1119" s="385">
        <v>45588</v>
      </c>
      <c r="H1119" s="367" t="s">
        <v>16</v>
      </c>
      <c r="I1119" s="368" t="str">
        <f>VLOOKUP(H1119,'[2]Source Codes'!A$2:B$115,2,FALSE)</f>
        <v>Property Tax Interface</v>
      </c>
      <c r="J1119" s="412">
        <v>16824105.93</v>
      </c>
      <c r="K1119" s="385">
        <v>45589</v>
      </c>
      <c r="L1119" s="380" t="s">
        <v>1892</v>
      </c>
      <c r="M1119" s="390">
        <v>45589.604189814818</v>
      </c>
      <c r="N1119" s="367" t="s">
        <v>361</v>
      </c>
      <c r="O1119" s="367" t="s">
        <v>384</v>
      </c>
    </row>
    <row r="1120" spans="1:15" ht="15" hidden="1" outlineLevel="1">
      <c r="B1120" s="384">
        <v>2025</v>
      </c>
      <c r="C1120" s="384">
        <v>4</v>
      </c>
      <c r="D1120" s="367" t="s">
        <v>5</v>
      </c>
      <c r="E1120" s="367" t="s">
        <v>6</v>
      </c>
      <c r="F1120" s="389" t="s">
        <v>1893</v>
      </c>
      <c r="G1120" s="385">
        <v>45589</v>
      </c>
      <c r="H1120" s="367" t="s">
        <v>110</v>
      </c>
      <c r="I1120" s="368" t="str">
        <f>VLOOKUP(H1120,'[2]Source Codes'!A$2:B$115,2,FALSE)</f>
        <v>Treasurers Interest Apportion</v>
      </c>
      <c r="J1120" s="412">
        <v>1487270.99</v>
      </c>
      <c r="K1120" s="385">
        <v>45589</v>
      </c>
      <c r="L1120" s="380" t="s">
        <v>1894</v>
      </c>
      <c r="M1120" s="390">
        <v>45589.523981481485</v>
      </c>
      <c r="N1120" s="367" t="s">
        <v>361</v>
      </c>
      <c r="O1120" s="367" t="s">
        <v>371</v>
      </c>
    </row>
    <row r="1121" spans="1:15" ht="15" hidden="1" outlineLevel="1">
      <c r="B1121" s="384">
        <v>2025</v>
      </c>
      <c r="C1121" s="384">
        <v>4</v>
      </c>
      <c r="D1121" s="367" t="s">
        <v>5</v>
      </c>
      <c r="E1121" s="367" t="s">
        <v>6</v>
      </c>
      <c r="F1121" s="389" t="s">
        <v>1895</v>
      </c>
      <c r="G1121" s="385">
        <v>45566</v>
      </c>
      <c r="H1121" s="367" t="s">
        <v>9</v>
      </c>
      <c r="I1121" s="368" t="str">
        <f>VLOOKUP(H1121,'[2]Source Codes'!A$2:B$115,2,FALSE)</f>
        <v>On Line Journal Entries</v>
      </c>
      <c r="J1121" s="412">
        <v>-5190118.1100000003</v>
      </c>
      <c r="K1121" s="385">
        <v>45589</v>
      </c>
      <c r="L1121" s="380" t="s">
        <v>1851</v>
      </c>
      <c r="M1121" s="390">
        <v>45589.365856481483</v>
      </c>
      <c r="N1121" s="367" t="s">
        <v>361</v>
      </c>
      <c r="O1121" s="367" t="s">
        <v>373</v>
      </c>
    </row>
    <row r="1122" spans="1:15" ht="15" hidden="1" outlineLevel="1">
      <c r="B1122" s="384">
        <v>2025</v>
      </c>
      <c r="C1122" s="384">
        <v>4</v>
      </c>
      <c r="D1122" s="367" t="s">
        <v>5</v>
      </c>
      <c r="E1122" s="367" t="s">
        <v>6</v>
      </c>
      <c r="F1122" s="389" t="s">
        <v>1896</v>
      </c>
      <c r="G1122" s="385">
        <v>45566</v>
      </c>
      <c r="H1122" s="367" t="s">
        <v>9</v>
      </c>
      <c r="I1122" s="368" t="str">
        <f>VLOOKUP(H1122,'[2]Source Codes'!A$2:B$115,2,FALSE)</f>
        <v>On Line Journal Entries</v>
      </c>
      <c r="J1122" s="412">
        <v>-12248033.939999999</v>
      </c>
      <c r="K1122" s="385">
        <v>45589</v>
      </c>
      <c r="L1122" s="380" t="s">
        <v>1899</v>
      </c>
      <c r="M1122" s="390">
        <v>45589.457789351851</v>
      </c>
      <c r="N1122" s="367" t="s">
        <v>361</v>
      </c>
      <c r="O1122" s="367" t="s">
        <v>373</v>
      </c>
    </row>
    <row r="1123" spans="1:15" ht="15" hidden="1" outlineLevel="1">
      <c r="B1123" s="384">
        <v>2025</v>
      </c>
      <c r="C1123" s="384">
        <v>4</v>
      </c>
      <c r="D1123" s="367" t="s">
        <v>5</v>
      </c>
      <c r="E1123" s="367" t="s">
        <v>6</v>
      </c>
      <c r="F1123" s="389" t="s">
        <v>1897</v>
      </c>
      <c r="G1123" s="385">
        <v>45566</v>
      </c>
      <c r="H1123" s="367" t="s">
        <v>9</v>
      </c>
      <c r="I1123" s="368" t="str">
        <f>VLOOKUP(H1123,'[2]Source Codes'!A$2:B$115,2,FALSE)</f>
        <v>On Line Journal Entries</v>
      </c>
      <c r="J1123" s="412">
        <v>-18107046.059999999</v>
      </c>
      <c r="K1123" s="385">
        <v>45589</v>
      </c>
      <c r="L1123" s="380" t="s">
        <v>1850</v>
      </c>
      <c r="M1123" s="390">
        <v>45589.37431712963</v>
      </c>
      <c r="N1123" s="367" t="s">
        <v>361</v>
      </c>
      <c r="O1123" s="367" t="s">
        <v>373</v>
      </c>
    </row>
    <row r="1124" spans="1:15" ht="15" hidden="1" outlineLevel="1">
      <c r="B1124" s="384">
        <v>2025</v>
      </c>
      <c r="C1124" s="384">
        <v>4</v>
      </c>
      <c r="D1124" s="367" t="s">
        <v>5</v>
      </c>
      <c r="E1124" s="367" t="s">
        <v>6</v>
      </c>
      <c r="F1124" s="389" t="s">
        <v>1898</v>
      </c>
      <c r="G1124" s="385">
        <v>45581</v>
      </c>
      <c r="H1124" s="367" t="s">
        <v>7</v>
      </c>
      <c r="I1124" s="368" t="str">
        <f>VLOOKUP(H1124,'[2]Source Codes'!A$2:B$115,2,FALSE)</f>
        <v>HRMS Interface Journals</v>
      </c>
      <c r="J1124" s="412">
        <v>-68165528.480000004</v>
      </c>
      <c r="K1124" s="385">
        <v>45589</v>
      </c>
      <c r="L1124" s="380" t="s">
        <v>406</v>
      </c>
      <c r="M1124" s="390">
        <v>45589.300312500003</v>
      </c>
      <c r="N1124" s="367" t="s">
        <v>365</v>
      </c>
      <c r="O1124" s="367" t="s">
        <v>366</v>
      </c>
    </row>
    <row r="1125" spans="1:15" ht="12.75" customHeight="1" collapsed="1">
      <c r="J1125" s="413">
        <f>SUM(J1117:J1124)</f>
        <v>-76860030.980000004</v>
      </c>
    </row>
    <row r="1127" spans="1:15" ht="12.75" customHeight="1">
      <c r="A1127" s="378" t="s">
        <v>1901</v>
      </c>
    </row>
    <row r="1128" spans="1:15" ht="45" hidden="1" outlineLevel="1">
      <c r="B1128" s="384">
        <v>2025</v>
      </c>
      <c r="C1128" s="384">
        <v>4</v>
      </c>
      <c r="D1128" s="367" t="s">
        <v>5</v>
      </c>
      <c r="E1128" s="367" t="s">
        <v>6</v>
      </c>
      <c r="F1128" s="389" t="s">
        <v>1902</v>
      </c>
      <c r="G1128" s="385">
        <v>45590</v>
      </c>
      <c r="H1128" s="367" t="s">
        <v>12</v>
      </c>
      <c r="I1128" s="368" t="str">
        <f>VLOOKUP(H1128,'[2]Source Codes'!A$2:B$115,2,FALSE)</f>
        <v>AR Direct Cash Journal</v>
      </c>
      <c r="J1128" s="412">
        <v>4452193.97</v>
      </c>
      <c r="K1128" s="385">
        <v>45590</v>
      </c>
      <c r="L1128" s="387" t="s">
        <v>1904</v>
      </c>
      <c r="M1128" s="390">
        <v>45590.751620370371</v>
      </c>
      <c r="N1128" s="367" t="s">
        <v>356</v>
      </c>
      <c r="O1128" s="367" t="s">
        <v>371</v>
      </c>
    </row>
    <row r="1129" spans="1:15" ht="30" hidden="1" outlineLevel="1">
      <c r="B1129" s="384">
        <v>2025</v>
      </c>
      <c r="C1129" s="384">
        <v>4</v>
      </c>
      <c r="D1129" s="367" t="s">
        <v>5</v>
      </c>
      <c r="E1129" s="367" t="s">
        <v>6</v>
      </c>
      <c r="F1129" s="389" t="s">
        <v>1903</v>
      </c>
      <c r="G1129" s="385">
        <v>45589</v>
      </c>
      <c r="H1129" s="367" t="s">
        <v>12</v>
      </c>
      <c r="I1129" s="368" t="str">
        <f>VLOOKUP(H1129,'[2]Source Codes'!A$2:B$115,2,FALSE)</f>
        <v>AR Direct Cash Journal</v>
      </c>
      <c r="J1129" s="412">
        <v>4650091.95</v>
      </c>
      <c r="K1129" s="385">
        <v>45590</v>
      </c>
      <c r="L1129" s="387" t="s">
        <v>1905</v>
      </c>
      <c r="M1129" s="390">
        <v>45590.751620370371</v>
      </c>
      <c r="N1129" s="367" t="s">
        <v>356</v>
      </c>
      <c r="O1129" s="367" t="s">
        <v>370</v>
      </c>
    </row>
    <row r="1130" spans="1:15" ht="12.75" customHeight="1" collapsed="1">
      <c r="J1130" s="413">
        <f>SUM(J1128:J1129)</f>
        <v>9102285.9199999999</v>
      </c>
    </row>
    <row r="1132" spans="1:15" ht="12.75" customHeight="1">
      <c r="A1132" s="378" t="s">
        <v>1906</v>
      </c>
    </row>
    <row r="1133" spans="1:15" ht="30" hidden="1" outlineLevel="1">
      <c r="B1133" s="384">
        <v>2025</v>
      </c>
      <c r="C1133" s="384">
        <v>4</v>
      </c>
      <c r="D1133" s="367" t="s">
        <v>5</v>
      </c>
      <c r="E1133" s="367" t="s">
        <v>6</v>
      </c>
      <c r="F1133" s="389" t="s">
        <v>1907</v>
      </c>
      <c r="G1133" s="385">
        <v>45590</v>
      </c>
      <c r="H1133" s="367" t="s">
        <v>12</v>
      </c>
      <c r="I1133" s="368" t="str">
        <f>VLOOKUP(H1133,'[2]Source Codes'!A$2:B$115,2,FALSE)</f>
        <v>AR Direct Cash Journal</v>
      </c>
      <c r="J1133" s="412">
        <v>1245001.43</v>
      </c>
      <c r="K1133" s="385">
        <v>45593</v>
      </c>
      <c r="L1133" s="387" t="s">
        <v>1917</v>
      </c>
      <c r="M1133" s="390">
        <v>45593.751689814817</v>
      </c>
      <c r="N1133" s="367" t="s">
        <v>356</v>
      </c>
      <c r="O1133" s="367" t="s">
        <v>362</v>
      </c>
    </row>
    <row r="1134" spans="1:15" ht="45" hidden="1" outlineLevel="1">
      <c r="B1134" s="384">
        <v>2025</v>
      </c>
      <c r="C1134" s="384">
        <v>4</v>
      </c>
      <c r="D1134" s="367" t="s">
        <v>5</v>
      </c>
      <c r="E1134" s="367" t="s">
        <v>6</v>
      </c>
      <c r="F1134" s="389" t="s">
        <v>1908</v>
      </c>
      <c r="G1134" s="385">
        <v>45588</v>
      </c>
      <c r="H1134" s="367" t="s">
        <v>12</v>
      </c>
      <c r="I1134" s="368" t="str">
        <f>VLOOKUP(H1134,'[2]Source Codes'!A$2:B$115,2,FALSE)</f>
        <v>AR Direct Cash Journal</v>
      </c>
      <c r="J1134" s="412">
        <v>14239953.07</v>
      </c>
      <c r="K1134" s="385">
        <v>45593</v>
      </c>
      <c r="L1134" s="387" t="s">
        <v>1918</v>
      </c>
      <c r="M1134" s="390">
        <v>45593.751689814817</v>
      </c>
      <c r="N1134" s="367" t="s">
        <v>361</v>
      </c>
      <c r="O1134" s="367" t="s">
        <v>368</v>
      </c>
    </row>
    <row r="1135" spans="1:15" ht="30" hidden="1" outlineLevel="1">
      <c r="B1135" s="384">
        <v>2025</v>
      </c>
      <c r="C1135" s="384">
        <v>4</v>
      </c>
      <c r="D1135" s="367" t="s">
        <v>5</v>
      </c>
      <c r="E1135" s="367" t="s">
        <v>6</v>
      </c>
      <c r="F1135" s="389" t="s">
        <v>1909</v>
      </c>
      <c r="G1135" s="385">
        <v>45586</v>
      </c>
      <c r="H1135" s="367" t="s">
        <v>9</v>
      </c>
      <c r="I1135" s="368" t="str">
        <f>VLOOKUP(H1135,'[2]Source Codes'!A$2:B$115,2,FALSE)</f>
        <v>On Line Journal Entries</v>
      </c>
      <c r="J1135" s="412">
        <v>12711320</v>
      </c>
      <c r="K1135" s="385">
        <v>45593</v>
      </c>
      <c r="L1135" s="387" t="s">
        <v>344</v>
      </c>
      <c r="M1135" s="390">
        <v>45593.869664351849</v>
      </c>
      <c r="N1135" s="367" t="s">
        <v>356</v>
      </c>
      <c r="O1135" s="367" t="s">
        <v>364</v>
      </c>
    </row>
    <row r="1136" spans="1:15" ht="30" hidden="1" outlineLevel="1">
      <c r="B1136" s="384">
        <v>2025</v>
      </c>
      <c r="C1136" s="384">
        <v>4</v>
      </c>
      <c r="D1136" s="367" t="s">
        <v>5</v>
      </c>
      <c r="E1136" s="367" t="s">
        <v>6</v>
      </c>
      <c r="F1136" s="389" t="s">
        <v>1910</v>
      </c>
      <c r="G1136" s="385">
        <v>45583</v>
      </c>
      <c r="H1136" s="367" t="s">
        <v>9</v>
      </c>
      <c r="I1136" s="368" t="str">
        <f>VLOOKUP(H1136,'[2]Source Codes'!A$2:B$115,2,FALSE)</f>
        <v>On Line Journal Entries</v>
      </c>
      <c r="J1136" s="412">
        <v>11020800.74</v>
      </c>
      <c r="K1136" s="385">
        <v>45593</v>
      </c>
      <c r="L1136" s="387" t="s">
        <v>344</v>
      </c>
      <c r="M1136" s="390">
        <v>45593.869664351849</v>
      </c>
      <c r="N1136" s="367" t="s">
        <v>356</v>
      </c>
      <c r="O1136" s="367" t="s">
        <v>364</v>
      </c>
    </row>
    <row r="1137" spans="1:15" ht="30" hidden="1" outlineLevel="1">
      <c r="B1137" s="384">
        <v>2025</v>
      </c>
      <c r="C1137" s="384">
        <v>4</v>
      </c>
      <c r="D1137" s="367" t="s">
        <v>5</v>
      </c>
      <c r="E1137" s="367" t="s">
        <v>6</v>
      </c>
      <c r="F1137" s="389" t="s">
        <v>1911</v>
      </c>
      <c r="G1137" s="385">
        <v>45583</v>
      </c>
      <c r="H1137" s="367" t="s">
        <v>9</v>
      </c>
      <c r="I1137" s="368" t="str">
        <f>VLOOKUP(H1137,'[2]Source Codes'!A$2:B$115,2,FALSE)</f>
        <v>On Line Journal Entries</v>
      </c>
      <c r="J1137" s="412">
        <v>9070666</v>
      </c>
      <c r="K1137" s="385">
        <v>45593</v>
      </c>
      <c r="L1137" s="387" t="s">
        <v>344</v>
      </c>
      <c r="M1137" s="390">
        <v>45593.869664351849</v>
      </c>
      <c r="N1137" s="367" t="s">
        <v>356</v>
      </c>
      <c r="O1137" s="367" t="s">
        <v>364</v>
      </c>
    </row>
    <row r="1138" spans="1:15" ht="30" hidden="1" outlineLevel="1">
      <c r="B1138" s="384">
        <v>2025</v>
      </c>
      <c r="C1138" s="384">
        <v>4</v>
      </c>
      <c r="D1138" s="367" t="s">
        <v>5</v>
      </c>
      <c r="E1138" s="367" t="s">
        <v>6</v>
      </c>
      <c r="F1138" s="389" t="s">
        <v>1912</v>
      </c>
      <c r="G1138" s="385">
        <v>45586</v>
      </c>
      <c r="H1138" s="367" t="s">
        <v>9</v>
      </c>
      <c r="I1138" s="368" t="str">
        <f>VLOOKUP(H1138,'[2]Source Codes'!A$2:B$115,2,FALSE)</f>
        <v>On Line Journal Entries</v>
      </c>
      <c r="J1138" s="412">
        <v>8514592</v>
      </c>
      <c r="K1138" s="385">
        <v>45593</v>
      </c>
      <c r="L1138" s="387" t="s">
        <v>344</v>
      </c>
      <c r="M1138" s="390">
        <v>45593.869664351849</v>
      </c>
      <c r="N1138" s="367" t="s">
        <v>356</v>
      </c>
      <c r="O1138" s="367" t="s">
        <v>364</v>
      </c>
    </row>
    <row r="1139" spans="1:15" ht="30" hidden="1" outlineLevel="1">
      <c r="B1139" s="384">
        <v>2025</v>
      </c>
      <c r="C1139" s="384">
        <v>4</v>
      </c>
      <c r="D1139" s="367" t="s">
        <v>5</v>
      </c>
      <c r="E1139" s="367" t="s">
        <v>6</v>
      </c>
      <c r="F1139" s="389" t="s">
        <v>1913</v>
      </c>
      <c r="G1139" s="385">
        <v>45586</v>
      </c>
      <c r="H1139" s="367" t="s">
        <v>9</v>
      </c>
      <c r="I1139" s="368" t="str">
        <f>VLOOKUP(H1139,'[2]Source Codes'!A$2:B$115,2,FALSE)</f>
        <v>On Line Journal Entries</v>
      </c>
      <c r="J1139" s="412">
        <v>5044498</v>
      </c>
      <c r="K1139" s="385">
        <v>45593</v>
      </c>
      <c r="L1139" s="387" t="s">
        <v>344</v>
      </c>
      <c r="M1139" s="390">
        <v>45593.869664351849</v>
      </c>
      <c r="N1139" s="367" t="s">
        <v>356</v>
      </c>
      <c r="O1139" s="367" t="s">
        <v>364</v>
      </c>
    </row>
    <row r="1140" spans="1:15" ht="30" hidden="1" outlineLevel="1">
      <c r="B1140" s="384">
        <v>2025</v>
      </c>
      <c r="C1140" s="384">
        <v>4</v>
      </c>
      <c r="D1140" s="367" t="s">
        <v>5</v>
      </c>
      <c r="E1140" s="367" t="s">
        <v>6</v>
      </c>
      <c r="F1140" s="389" t="s">
        <v>1914</v>
      </c>
      <c r="G1140" s="385">
        <v>45586</v>
      </c>
      <c r="H1140" s="367" t="s">
        <v>9</v>
      </c>
      <c r="I1140" s="368" t="str">
        <f>VLOOKUP(H1140,'[2]Source Codes'!A$2:B$115,2,FALSE)</f>
        <v>On Line Journal Entries</v>
      </c>
      <c r="J1140" s="412">
        <v>2434551</v>
      </c>
      <c r="K1140" s="385">
        <v>45593</v>
      </c>
      <c r="L1140" s="387" t="s">
        <v>344</v>
      </c>
      <c r="M1140" s="390">
        <v>45593.869664351849</v>
      </c>
      <c r="N1140" s="367" t="s">
        <v>356</v>
      </c>
      <c r="O1140" s="367" t="s">
        <v>364</v>
      </c>
    </row>
    <row r="1141" spans="1:15" ht="15" hidden="1" outlineLevel="1">
      <c r="B1141" s="384">
        <v>2025</v>
      </c>
      <c r="C1141" s="384">
        <v>4</v>
      </c>
      <c r="D1141" s="367" t="s">
        <v>5</v>
      </c>
      <c r="E1141" s="367" t="s">
        <v>6</v>
      </c>
      <c r="F1141" s="389" t="s">
        <v>1915</v>
      </c>
      <c r="G1141" s="385">
        <v>45566</v>
      </c>
      <c r="H1141" s="367" t="s">
        <v>9</v>
      </c>
      <c r="I1141" s="368" t="str">
        <f>VLOOKUP(H1141,'[2]Source Codes'!A$2:B$115,2,FALSE)</f>
        <v>On Line Journal Entries</v>
      </c>
      <c r="J1141" s="412">
        <v>2323866.81</v>
      </c>
      <c r="K1141" s="385">
        <v>45593</v>
      </c>
      <c r="L1141" s="387" t="s">
        <v>1919</v>
      </c>
      <c r="M1141" s="390">
        <v>45593.869664351849</v>
      </c>
      <c r="N1141" s="367" t="s">
        <v>361</v>
      </c>
      <c r="O1141" s="367" t="s">
        <v>373</v>
      </c>
    </row>
    <row r="1142" spans="1:15" ht="30" hidden="1" outlineLevel="1">
      <c r="B1142" s="384">
        <v>2025</v>
      </c>
      <c r="C1142" s="384">
        <v>4</v>
      </c>
      <c r="D1142" s="367" t="s">
        <v>5</v>
      </c>
      <c r="E1142" s="367" t="s">
        <v>6</v>
      </c>
      <c r="F1142" s="389" t="s">
        <v>1916</v>
      </c>
      <c r="G1142" s="385">
        <v>45583</v>
      </c>
      <c r="H1142" s="367" t="s">
        <v>9</v>
      </c>
      <c r="I1142" s="368" t="str">
        <f>VLOOKUP(H1142,'[2]Source Codes'!A$2:B$115,2,FALSE)</f>
        <v>On Line Journal Entries</v>
      </c>
      <c r="J1142" s="412">
        <v>1617048</v>
      </c>
      <c r="K1142" s="385">
        <v>45593</v>
      </c>
      <c r="L1142" s="387" t="s">
        <v>344</v>
      </c>
      <c r="M1142" s="390">
        <v>45593.869664351849</v>
      </c>
      <c r="N1142" s="367" t="s">
        <v>356</v>
      </c>
      <c r="O1142" s="367" t="s">
        <v>364</v>
      </c>
    </row>
    <row r="1143" spans="1:15" ht="12.75" customHeight="1" collapsed="1">
      <c r="J1143" s="413">
        <f>SUM(J1133:J1142)</f>
        <v>68222297.050000012</v>
      </c>
    </row>
    <row r="1145" spans="1:15" ht="12.75" customHeight="1">
      <c r="A1145" s="378" t="s">
        <v>1920</v>
      </c>
      <c r="B1145" s="377" t="s">
        <v>1921</v>
      </c>
    </row>
    <row r="1146" spans="1:15" ht="45" hidden="1" outlineLevel="1">
      <c r="B1146" s="384">
        <v>2025</v>
      </c>
      <c r="C1146" s="384">
        <v>4</v>
      </c>
      <c r="D1146" s="367" t="s">
        <v>5</v>
      </c>
      <c r="E1146" s="367" t="s">
        <v>6</v>
      </c>
      <c r="F1146" s="389" t="s">
        <v>1922</v>
      </c>
      <c r="G1146" s="385">
        <v>45594</v>
      </c>
      <c r="H1146" s="367" t="s">
        <v>14</v>
      </c>
      <c r="I1146" s="368" t="str">
        <f>VLOOKUP(H1146,'[2]Source Codes'!A$2:B$115,2,FALSE)</f>
        <v>AP Warrant Issuance</v>
      </c>
      <c r="J1146" s="412">
        <v>-1130613.69</v>
      </c>
      <c r="K1146" s="385">
        <v>45594</v>
      </c>
      <c r="L1146" s="387" t="s">
        <v>1923</v>
      </c>
      <c r="M1146" s="390">
        <v>45594.793263888889</v>
      </c>
      <c r="N1146" s="367" t="s">
        <v>361</v>
      </c>
      <c r="O1146" s="367" t="s">
        <v>362</v>
      </c>
    </row>
    <row r="1147" spans="1:15" ht="12.75" customHeight="1" collapsed="1">
      <c r="J1147" s="413">
        <f>SUM(J1146)</f>
        <v>-1130613.69</v>
      </c>
    </row>
    <row r="1149" spans="1:15" ht="12.75" customHeight="1">
      <c r="A1149" s="378" t="s">
        <v>1924</v>
      </c>
    </row>
    <row r="1150" spans="1:15" ht="45" hidden="1" outlineLevel="1">
      <c r="B1150" s="384">
        <v>2025</v>
      </c>
      <c r="C1150" s="384">
        <v>4</v>
      </c>
      <c r="D1150" s="367" t="s">
        <v>5</v>
      </c>
      <c r="E1150" s="367" t="s">
        <v>6</v>
      </c>
      <c r="F1150" s="389" t="s">
        <v>1925</v>
      </c>
      <c r="G1150" s="385">
        <v>45593</v>
      </c>
      <c r="H1150" s="367" t="s">
        <v>12</v>
      </c>
      <c r="I1150" s="368" t="str">
        <f>VLOOKUP(H1150,'[2]Source Codes'!A$2:B$115,2,FALSE)</f>
        <v>AR Direct Cash Journal</v>
      </c>
      <c r="J1150" s="412">
        <v>46331152.210000001</v>
      </c>
      <c r="K1150" s="385">
        <v>45595</v>
      </c>
      <c r="L1150" s="387" t="s">
        <v>1926</v>
      </c>
      <c r="M1150" s="390">
        <v>45595.752083333333</v>
      </c>
      <c r="N1150" s="367" t="s">
        <v>356</v>
      </c>
      <c r="O1150" s="367" t="s">
        <v>368</v>
      </c>
    </row>
    <row r="1151" spans="1:15" ht="12.75" customHeight="1" collapsed="1">
      <c r="J1151" s="413">
        <f>SUM(J1150)</f>
        <v>46331152.210000001</v>
      </c>
    </row>
    <row r="1153" spans="1:15" ht="12.75" customHeight="1">
      <c r="A1153" s="378" t="s">
        <v>1927</v>
      </c>
    </row>
    <row r="1154" spans="1:15" ht="45" hidden="1" outlineLevel="1">
      <c r="B1154" s="384">
        <v>2025</v>
      </c>
      <c r="C1154" s="384">
        <v>4</v>
      </c>
      <c r="D1154" s="367" t="s">
        <v>5</v>
      </c>
      <c r="E1154" s="367" t="s">
        <v>6</v>
      </c>
      <c r="F1154" s="389" t="s">
        <v>1928</v>
      </c>
      <c r="G1154" s="385">
        <v>45596</v>
      </c>
      <c r="H1154" s="367" t="s">
        <v>14</v>
      </c>
      <c r="I1154" s="368" t="str">
        <f>VLOOKUP(H1154,'[2]Source Codes'!A$2:B$115,2,FALSE)</f>
        <v>AP Warrant Issuance</v>
      </c>
      <c r="J1154" s="412">
        <v>-1499673.71</v>
      </c>
      <c r="K1154" s="385">
        <v>45596</v>
      </c>
      <c r="L1154" s="387" t="s">
        <v>1933</v>
      </c>
      <c r="M1154" s="390">
        <v>45596.793298611112</v>
      </c>
      <c r="N1154" s="368" t="s">
        <v>360</v>
      </c>
      <c r="O1154" s="367" t="s">
        <v>1932</v>
      </c>
    </row>
    <row r="1155" spans="1:15" ht="30" hidden="1" outlineLevel="1">
      <c r="B1155" s="384">
        <v>2025</v>
      </c>
      <c r="C1155" s="384">
        <v>4</v>
      </c>
      <c r="D1155" s="367" t="s">
        <v>5</v>
      </c>
      <c r="E1155" s="367" t="s">
        <v>6</v>
      </c>
      <c r="F1155" s="389" t="s">
        <v>1929</v>
      </c>
      <c r="G1155" s="385">
        <v>45596</v>
      </c>
      <c r="H1155" s="367" t="s">
        <v>11</v>
      </c>
      <c r="I1155" s="368" t="str">
        <f>VLOOKUP(H1155,'[2]Source Codes'!A$2:B$115,2,FALSE)</f>
        <v>AR Payments</v>
      </c>
      <c r="J1155" s="412">
        <v>4532708.45</v>
      </c>
      <c r="K1155" s="385">
        <v>45596</v>
      </c>
      <c r="L1155" s="387" t="s">
        <v>1936</v>
      </c>
      <c r="M1155" s="390">
        <v>45596.75199074074</v>
      </c>
      <c r="N1155" s="367" t="s">
        <v>356</v>
      </c>
      <c r="O1155" s="367" t="s">
        <v>357</v>
      </c>
    </row>
    <row r="1156" spans="1:15" ht="60" hidden="1" outlineLevel="1">
      <c r="B1156" s="384">
        <v>2025</v>
      </c>
      <c r="C1156" s="384">
        <v>4</v>
      </c>
      <c r="D1156" s="367" t="s">
        <v>5</v>
      </c>
      <c r="E1156" s="367" t="s">
        <v>6</v>
      </c>
      <c r="F1156" s="389" t="s">
        <v>1930</v>
      </c>
      <c r="G1156" s="385">
        <v>45573</v>
      </c>
      <c r="H1156" s="367" t="s">
        <v>12</v>
      </c>
      <c r="I1156" s="368" t="str">
        <f>VLOOKUP(H1156,'[2]Source Codes'!A$2:B$115,2,FALSE)</f>
        <v>AR Direct Cash Journal</v>
      </c>
      <c r="J1156" s="412">
        <v>3266473.45</v>
      </c>
      <c r="K1156" s="385">
        <v>45596</v>
      </c>
      <c r="L1156" s="387" t="s">
        <v>1934</v>
      </c>
      <c r="M1156" s="390">
        <v>45596.75199074074</v>
      </c>
      <c r="N1156" s="367" t="s">
        <v>356</v>
      </c>
      <c r="O1156" s="367" t="s">
        <v>368</v>
      </c>
    </row>
    <row r="1157" spans="1:15" ht="45" hidden="1" outlineLevel="1">
      <c r="B1157" s="384">
        <v>2025</v>
      </c>
      <c r="C1157" s="384">
        <v>4</v>
      </c>
      <c r="D1157" s="367" t="s">
        <v>5</v>
      </c>
      <c r="E1157" s="367" t="s">
        <v>6</v>
      </c>
      <c r="F1157" s="389" t="s">
        <v>1931</v>
      </c>
      <c r="G1157" s="385">
        <v>45589</v>
      </c>
      <c r="H1157" s="367" t="s">
        <v>12</v>
      </c>
      <c r="I1157" s="368" t="str">
        <f>VLOOKUP(H1157,'[2]Source Codes'!A$2:B$115,2,FALSE)</f>
        <v>AR Direct Cash Journal</v>
      </c>
      <c r="J1157" s="412">
        <v>1661240.25</v>
      </c>
      <c r="K1157" s="385">
        <v>45596</v>
      </c>
      <c r="L1157" s="387" t="s">
        <v>1935</v>
      </c>
      <c r="M1157" s="390">
        <v>45596.75199074074</v>
      </c>
      <c r="N1157" s="367" t="s">
        <v>356</v>
      </c>
      <c r="O1157" s="367" t="s">
        <v>368</v>
      </c>
    </row>
    <row r="1158" spans="1:15" ht="12.75" customHeight="1" collapsed="1">
      <c r="J1158" s="413">
        <f>SUM(J1154:J1157)</f>
        <v>7960748.4400000004</v>
      </c>
    </row>
    <row r="1160" spans="1:15" ht="12.75" customHeight="1">
      <c r="A1160" s="378" t="s">
        <v>1937</v>
      </c>
    </row>
    <row r="1161" spans="1:15" ht="30" hidden="1" outlineLevel="1">
      <c r="B1161" s="384">
        <v>2025</v>
      </c>
      <c r="C1161" s="384">
        <v>5</v>
      </c>
      <c r="D1161" s="367" t="s">
        <v>5</v>
      </c>
      <c r="E1161" s="367" t="s">
        <v>6</v>
      </c>
      <c r="F1161" s="389" t="s">
        <v>1938</v>
      </c>
      <c r="G1161" s="385">
        <v>45597</v>
      </c>
      <c r="H1161" s="367" t="s">
        <v>14</v>
      </c>
      <c r="I1161" s="368" t="str">
        <f>VLOOKUP(H1161,'[2]Source Codes'!A$2:B$115,2,FALSE)</f>
        <v>AP Warrant Issuance</v>
      </c>
      <c r="J1161" s="412">
        <v>-1362948.16</v>
      </c>
      <c r="K1161" s="385">
        <v>45597</v>
      </c>
      <c r="L1161" s="387" t="s">
        <v>1942</v>
      </c>
      <c r="M1161" s="390">
        <v>45597.793171296296</v>
      </c>
      <c r="N1161" s="367" t="s">
        <v>356</v>
      </c>
      <c r="O1161" s="367" t="s">
        <v>368</v>
      </c>
    </row>
    <row r="1162" spans="1:15" ht="30" hidden="1" outlineLevel="1">
      <c r="B1162" s="384">
        <v>2025</v>
      </c>
      <c r="C1162" s="384">
        <v>5</v>
      </c>
      <c r="D1162" s="367" t="s">
        <v>5</v>
      </c>
      <c r="E1162" s="367" t="s">
        <v>6</v>
      </c>
      <c r="F1162" s="389" t="s">
        <v>1939</v>
      </c>
      <c r="G1162" s="385">
        <v>45601</v>
      </c>
      <c r="H1162" s="367" t="s">
        <v>14</v>
      </c>
      <c r="I1162" s="368" t="str">
        <f>VLOOKUP(H1162,'[2]Source Codes'!A$2:B$115,2,FALSE)</f>
        <v>AP Warrant Issuance</v>
      </c>
      <c r="J1162" s="412">
        <v>-1150884.6200000001</v>
      </c>
      <c r="K1162" s="385">
        <v>45597</v>
      </c>
      <c r="L1162" s="387" t="s">
        <v>1943</v>
      </c>
      <c r="M1162" s="390">
        <v>45597.793171296296</v>
      </c>
      <c r="N1162" s="367" t="s">
        <v>356</v>
      </c>
      <c r="O1162" s="367" t="s">
        <v>368</v>
      </c>
    </row>
    <row r="1163" spans="1:15" ht="30" hidden="1" outlineLevel="1">
      <c r="B1163" s="384">
        <v>2025</v>
      </c>
      <c r="C1163" s="384">
        <v>5</v>
      </c>
      <c r="D1163" s="367" t="s">
        <v>5</v>
      </c>
      <c r="E1163" s="367" t="s">
        <v>6</v>
      </c>
      <c r="F1163" s="389" t="s">
        <v>1940</v>
      </c>
      <c r="G1163" s="385">
        <v>45597</v>
      </c>
      <c r="H1163" s="367" t="s">
        <v>9</v>
      </c>
      <c r="I1163" s="368" t="str">
        <f>VLOOKUP(H1163,'[2]Source Codes'!A$2:B$115,2,FALSE)</f>
        <v>On Line Journal Entries</v>
      </c>
      <c r="J1163" s="412">
        <v>8000000</v>
      </c>
      <c r="K1163" s="385">
        <v>45597</v>
      </c>
      <c r="L1163" s="387" t="s">
        <v>1941</v>
      </c>
      <c r="M1163" s="390">
        <v>45597.601631944446</v>
      </c>
      <c r="N1163" s="367" t="s">
        <v>387</v>
      </c>
      <c r="O1163" s="367" t="s">
        <v>371</v>
      </c>
    </row>
    <row r="1164" spans="1:15" ht="12.75" customHeight="1" collapsed="1">
      <c r="J1164" s="413">
        <f>SUM(J1161:J1163)</f>
        <v>5486167.2199999997</v>
      </c>
    </row>
    <row r="1166" spans="1:15" ht="12.75" customHeight="1">
      <c r="A1166" s="378" t="s">
        <v>1945</v>
      </c>
    </row>
    <row r="1167" spans="1:15" ht="30" hidden="1" outlineLevel="1">
      <c r="B1167" s="384">
        <v>2025</v>
      </c>
      <c r="C1167" s="384">
        <v>5</v>
      </c>
      <c r="D1167" s="367" t="s">
        <v>5</v>
      </c>
      <c r="E1167" s="367" t="s">
        <v>6</v>
      </c>
      <c r="F1167" s="389" t="s">
        <v>1946</v>
      </c>
      <c r="G1167" s="385">
        <v>45602</v>
      </c>
      <c r="H1167" s="367" t="s">
        <v>14</v>
      </c>
      <c r="I1167" s="368" t="str">
        <f>VLOOKUP(H1167,'[2]Source Codes'!A$2:B$115,2,FALSE)</f>
        <v>AP Warrant Issuance</v>
      </c>
      <c r="J1167" s="412">
        <v>-4967230.3600000003</v>
      </c>
      <c r="K1167" s="385">
        <v>45600</v>
      </c>
      <c r="L1167" s="387" t="s">
        <v>1951</v>
      </c>
      <c r="M1167" s="390">
        <v>45600.793506944443</v>
      </c>
      <c r="N1167" s="367" t="s">
        <v>356</v>
      </c>
      <c r="O1167" s="367" t="s">
        <v>368</v>
      </c>
    </row>
    <row r="1168" spans="1:15" ht="30" hidden="1" outlineLevel="1">
      <c r="B1168" s="384">
        <v>2025</v>
      </c>
      <c r="C1168" s="384">
        <v>5</v>
      </c>
      <c r="D1168" s="367" t="s">
        <v>5</v>
      </c>
      <c r="E1168" s="367" t="s">
        <v>6</v>
      </c>
      <c r="F1168" s="389" t="s">
        <v>1947</v>
      </c>
      <c r="G1168" s="385">
        <v>45600</v>
      </c>
      <c r="H1168" s="367" t="s">
        <v>14</v>
      </c>
      <c r="I1168" s="368" t="str">
        <f>VLOOKUP(H1168,'[2]Source Codes'!A$2:B$115,2,FALSE)</f>
        <v>AP Warrant Issuance</v>
      </c>
      <c r="J1168" s="412">
        <v>-2605673.52</v>
      </c>
      <c r="K1168" s="385">
        <v>45600</v>
      </c>
      <c r="L1168" s="387" t="s">
        <v>1952</v>
      </c>
      <c r="M1168" s="390">
        <v>45600.793506944443</v>
      </c>
      <c r="N1168" s="367" t="s">
        <v>356</v>
      </c>
      <c r="O1168" s="367" t="s">
        <v>368</v>
      </c>
    </row>
    <row r="1169" spans="1:15" ht="15" hidden="1" outlineLevel="1">
      <c r="B1169" s="384">
        <v>2025</v>
      </c>
      <c r="C1169" s="384">
        <v>4</v>
      </c>
      <c r="D1169" s="367" t="s">
        <v>5</v>
      </c>
      <c r="E1169" s="367" t="s">
        <v>6</v>
      </c>
      <c r="F1169" s="389" t="s">
        <v>1948</v>
      </c>
      <c r="G1169" s="385">
        <v>45575</v>
      </c>
      <c r="H1169" s="367" t="s">
        <v>337</v>
      </c>
      <c r="I1169" s="368" t="str">
        <f>VLOOKUP(H1169,'[2]Source Codes'!A$2:B$115,2,FALSE)</f>
        <v>Facilities Mngmnt Intfc Jrnls</v>
      </c>
      <c r="J1169" s="412">
        <v>1177899.8600000001</v>
      </c>
      <c r="K1169" s="385">
        <v>45600</v>
      </c>
      <c r="L1169" s="387" t="s">
        <v>1953</v>
      </c>
      <c r="M1169" s="390">
        <v>45600.474340277775</v>
      </c>
      <c r="N1169" s="367" t="s">
        <v>356</v>
      </c>
      <c r="O1169" s="367" t="s">
        <v>367</v>
      </c>
    </row>
    <row r="1170" spans="1:15" ht="15" hidden="1" outlineLevel="1">
      <c r="B1170" s="384">
        <v>2025</v>
      </c>
      <c r="C1170" s="384">
        <v>4</v>
      </c>
      <c r="D1170" s="367" t="s">
        <v>5</v>
      </c>
      <c r="E1170" s="367" t="s">
        <v>6</v>
      </c>
      <c r="F1170" s="389" t="s">
        <v>1949</v>
      </c>
      <c r="G1170" s="385">
        <v>45595</v>
      </c>
      <c r="H1170" s="367" t="s">
        <v>7</v>
      </c>
      <c r="I1170" s="368" t="str">
        <f>VLOOKUP(H1170,'[2]Source Codes'!A$2:B$115,2,FALSE)</f>
        <v>HRMS Interface Journals</v>
      </c>
      <c r="J1170" s="412">
        <v>-2346541.15</v>
      </c>
      <c r="K1170" s="385">
        <v>45600</v>
      </c>
      <c r="L1170" s="387" t="s">
        <v>1954</v>
      </c>
      <c r="M1170" s="390">
        <v>45600.383101851854</v>
      </c>
      <c r="N1170" s="367" t="s">
        <v>365</v>
      </c>
      <c r="O1170" s="367" t="s">
        <v>366</v>
      </c>
    </row>
    <row r="1171" spans="1:15" ht="15" hidden="1" outlineLevel="1">
      <c r="B1171" s="384">
        <v>2025</v>
      </c>
      <c r="C1171" s="384">
        <v>4</v>
      </c>
      <c r="D1171" s="367" t="s">
        <v>5</v>
      </c>
      <c r="E1171" s="367" t="s">
        <v>6</v>
      </c>
      <c r="F1171" s="389" t="s">
        <v>1950</v>
      </c>
      <c r="G1171" s="385">
        <v>45595</v>
      </c>
      <c r="H1171" s="367" t="s">
        <v>7</v>
      </c>
      <c r="I1171" s="368" t="str">
        <f>VLOOKUP(H1171,'[2]Source Codes'!A$2:B$115,2,FALSE)</f>
        <v>HRMS Interface Journals</v>
      </c>
      <c r="J1171" s="412">
        <v>-10590403.48</v>
      </c>
      <c r="K1171" s="385">
        <v>45600</v>
      </c>
      <c r="L1171" s="387" t="s">
        <v>1955</v>
      </c>
      <c r="M1171" s="390">
        <v>45600.378472222219</v>
      </c>
      <c r="N1171" s="367" t="s">
        <v>365</v>
      </c>
      <c r="O1171" s="367" t="s">
        <v>366</v>
      </c>
    </row>
    <row r="1172" spans="1:15" ht="12.75" customHeight="1" collapsed="1">
      <c r="J1172" s="413">
        <f>SUM(J1167:J1171)</f>
        <v>-19331948.649999999</v>
      </c>
    </row>
    <row r="1174" spans="1:15" ht="12.75" customHeight="1">
      <c r="A1174" s="378" t="s">
        <v>1956</v>
      </c>
    </row>
    <row r="1175" spans="1:15" ht="30" hidden="1" outlineLevel="1">
      <c r="B1175" s="384">
        <v>2025</v>
      </c>
      <c r="C1175" s="384">
        <v>5</v>
      </c>
      <c r="D1175" s="367" t="s">
        <v>5</v>
      </c>
      <c r="E1175" s="367" t="s">
        <v>6</v>
      </c>
      <c r="F1175" s="389" t="s">
        <v>1957</v>
      </c>
      <c r="G1175" s="385">
        <v>45603</v>
      </c>
      <c r="H1175" s="367" t="s">
        <v>14</v>
      </c>
      <c r="I1175" s="368" t="str">
        <f>VLOOKUP(H1175,'[2]Source Codes'!A$2:B$115,2,FALSE)</f>
        <v>AP Warrant Issuance</v>
      </c>
      <c r="J1175" s="412">
        <v>-1794196.21</v>
      </c>
      <c r="K1175" s="385">
        <v>45601</v>
      </c>
      <c r="L1175" s="387" t="s">
        <v>1980</v>
      </c>
      <c r="M1175" s="390">
        <v>45601.803229166668</v>
      </c>
      <c r="N1175" s="367" t="s">
        <v>356</v>
      </c>
      <c r="O1175" s="367" t="s">
        <v>368</v>
      </c>
    </row>
    <row r="1176" spans="1:15" ht="16.350000000000001" hidden="1" customHeight="1" outlineLevel="1">
      <c r="B1176" s="384">
        <v>2025</v>
      </c>
      <c r="C1176" s="384">
        <v>5</v>
      </c>
      <c r="D1176" s="367" t="s">
        <v>5</v>
      </c>
      <c r="E1176" s="367" t="s">
        <v>6</v>
      </c>
      <c r="F1176" s="389" t="s">
        <v>1958</v>
      </c>
      <c r="G1176" s="385">
        <v>45597</v>
      </c>
      <c r="H1176" s="367" t="s">
        <v>11</v>
      </c>
      <c r="I1176" s="368" t="str">
        <f>VLOOKUP(H1176,'[2]Source Codes'!A$2:B$115,2,FALSE)</f>
        <v>AR Payments</v>
      </c>
      <c r="J1176" s="412">
        <v>1937499.85</v>
      </c>
      <c r="K1176" s="385">
        <v>45601</v>
      </c>
      <c r="L1176" s="387" t="s">
        <v>958</v>
      </c>
      <c r="M1176" s="390">
        <v>45601.751817129632</v>
      </c>
      <c r="N1176" s="367" t="s">
        <v>356</v>
      </c>
      <c r="O1176" s="367" t="s">
        <v>357</v>
      </c>
    </row>
    <row r="1177" spans="1:15" ht="15" hidden="1" outlineLevel="1">
      <c r="B1177" s="384">
        <v>2025</v>
      </c>
      <c r="C1177" s="384">
        <v>4</v>
      </c>
      <c r="D1177" s="367" t="s">
        <v>5</v>
      </c>
      <c r="E1177" s="367" t="s">
        <v>6</v>
      </c>
      <c r="F1177" s="389" t="s">
        <v>1959</v>
      </c>
      <c r="G1177" s="385">
        <v>45592</v>
      </c>
      <c r="H1177" s="367" t="s">
        <v>9</v>
      </c>
      <c r="I1177" s="368" t="str">
        <f>VLOOKUP(H1177,'[2]Source Codes'!A$2:B$115,2,FALSE)</f>
        <v>On Line Journal Entries</v>
      </c>
      <c r="J1177" s="412">
        <v>23418240.5</v>
      </c>
      <c r="K1177" s="385">
        <v>45601</v>
      </c>
      <c r="L1177" s="387" t="s">
        <v>1977</v>
      </c>
      <c r="M1177" s="390">
        <v>45601.435150462959</v>
      </c>
      <c r="N1177" s="367" t="s">
        <v>356</v>
      </c>
      <c r="O1177" s="367" t="s">
        <v>371</v>
      </c>
    </row>
    <row r="1178" spans="1:15" ht="45" hidden="1" outlineLevel="1">
      <c r="B1178" s="384">
        <v>2025</v>
      </c>
      <c r="C1178" s="384">
        <v>4</v>
      </c>
      <c r="D1178" s="367" t="s">
        <v>5</v>
      </c>
      <c r="E1178" s="367" t="s">
        <v>6</v>
      </c>
      <c r="F1178" s="389" t="s">
        <v>1960</v>
      </c>
      <c r="G1178" s="385">
        <v>45592</v>
      </c>
      <c r="H1178" s="367" t="s">
        <v>9</v>
      </c>
      <c r="I1178" s="368" t="str">
        <f>VLOOKUP(H1178,'[2]Source Codes'!A$2:B$115,2,FALSE)</f>
        <v>On Line Journal Entries</v>
      </c>
      <c r="J1178" s="412">
        <v>11419337.9</v>
      </c>
      <c r="K1178" s="385">
        <v>45601</v>
      </c>
      <c r="L1178" s="387" t="s">
        <v>1976</v>
      </c>
      <c r="M1178" s="390">
        <v>45601.440381944441</v>
      </c>
      <c r="N1178" s="367" t="s">
        <v>356</v>
      </c>
      <c r="O1178" s="367" t="s">
        <v>371</v>
      </c>
    </row>
    <row r="1179" spans="1:15" ht="30" hidden="1" outlineLevel="1">
      <c r="B1179" s="384">
        <v>2025</v>
      </c>
      <c r="C1179" s="384">
        <v>4</v>
      </c>
      <c r="D1179" s="367" t="s">
        <v>5</v>
      </c>
      <c r="E1179" s="367" t="s">
        <v>6</v>
      </c>
      <c r="F1179" s="389" t="s">
        <v>1961</v>
      </c>
      <c r="G1179" s="385">
        <v>45587</v>
      </c>
      <c r="H1179" s="367" t="s">
        <v>9</v>
      </c>
      <c r="I1179" s="368" t="str">
        <f>VLOOKUP(H1179,'[2]Source Codes'!A$2:B$115,2,FALSE)</f>
        <v>On Line Journal Entries</v>
      </c>
      <c r="J1179" s="412">
        <v>6645657.3300000001</v>
      </c>
      <c r="K1179" s="385">
        <v>45601</v>
      </c>
      <c r="L1179" s="387" t="s">
        <v>1978</v>
      </c>
      <c r="M1179" s="390">
        <v>45601.509340277778</v>
      </c>
      <c r="N1179" s="367" t="s">
        <v>361</v>
      </c>
      <c r="O1179" s="367" t="s">
        <v>368</v>
      </c>
    </row>
    <row r="1180" spans="1:15" ht="15" hidden="1" outlineLevel="1">
      <c r="B1180" s="384">
        <v>2025</v>
      </c>
      <c r="C1180" s="384">
        <v>4</v>
      </c>
      <c r="D1180" s="367" t="s">
        <v>5</v>
      </c>
      <c r="E1180" s="367" t="s">
        <v>6</v>
      </c>
      <c r="F1180" s="389" t="s">
        <v>1962</v>
      </c>
      <c r="G1180" s="385">
        <v>45588</v>
      </c>
      <c r="H1180" s="367" t="s">
        <v>9</v>
      </c>
      <c r="I1180" s="368" t="str">
        <f>VLOOKUP(H1180,'[2]Source Codes'!A$2:B$115,2,FALSE)</f>
        <v>On Line Journal Entries</v>
      </c>
      <c r="J1180" s="412">
        <v>6616485.9299999997</v>
      </c>
      <c r="K1180" s="385">
        <v>45601</v>
      </c>
      <c r="L1180" s="387" t="s">
        <v>1979</v>
      </c>
      <c r="M1180" s="390">
        <v>45601.649583333332</v>
      </c>
      <c r="N1180" s="367" t="s">
        <v>361</v>
      </c>
      <c r="O1180" s="367" t="s">
        <v>376</v>
      </c>
    </row>
    <row r="1181" spans="1:15" ht="30" hidden="1" outlineLevel="1">
      <c r="B1181" s="384">
        <v>2025</v>
      </c>
      <c r="C1181" s="384">
        <v>4</v>
      </c>
      <c r="D1181" s="367" t="s">
        <v>5</v>
      </c>
      <c r="E1181" s="367" t="s">
        <v>6</v>
      </c>
      <c r="F1181" s="389" t="s">
        <v>1963</v>
      </c>
      <c r="G1181" s="385">
        <v>45580</v>
      </c>
      <c r="H1181" s="367" t="s">
        <v>9</v>
      </c>
      <c r="I1181" s="368" t="str">
        <f>VLOOKUP(H1181,'[2]Source Codes'!A$2:B$115,2,FALSE)</f>
        <v>On Line Journal Entries</v>
      </c>
      <c r="J1181" s="412">
        <v>3972918.5</v>
      </c>
      <c r="K1181" s="385">
        <v>45601</v>
      </c>
      <c r="L1181" s="387" t="s">
        <v>1719</v>
      </c>
      <c r="M1181" s="390">
        <v>45601.580891203703</v>
      </c>
      <c r="N1181" s="367" t="s">
        <v>507</v>
      </c>
      <c r="O1181" s="367" t="s">
        <v>367</v>
      </c>
    </row>
    <row r="1182" spans="1:15" ht="60" hidden="1" outlineLevel="1">
      <c r="B1182" s="384">
        <v>2025</v>
      </c>
      <c r="C1182" s="384">
        <v>4</v>
      </c>
      <c r="D1182" s="367" t="s">
        <v>5</v>
      </c>
      <c r="E1182" s="367" t="s">
        <v>6</v>
      </c>
      <c r="F1182" s="389" t="s">
        <v>1964</v>
      </c>
      <c r="G1182" s="385">
        <v>45592</v>
      </c>
      <c r="H1182" s="367" t="s">
        <v>9</v>
      </c>
      <c r="I1182" s="368" t="str">
        <f>VLOOKUP(H1182,'[2]Source Codes'!A$2:B$115,2,FALSE)</f>
        <v>On Line Journal Entries</v>
      </c>
      <c r="J1182" s="412">
        <v>3348859.09</v>
      </c>
      <c r="K1182" s="385">
        <v>45601</v>
      </c>
      <c r="L1182" s="387" t="s">
        <v>1975</v>
      </c>
      <c r="M1182" s="390">
        <v>45601.435486111113</v>
      </c>
      <c r="N1182" s="367" t="s">
        <v>356</v>
      </c>
      <c r="O1182" s="367" t="s">
        <v>371</v>
      </c>
    </row>
    <row r="1183" spans="1:15" ht="15" hidden="1" outlineLevel="1">
      <c r="B1183" s="384">
        <v>2025</v>
      </c>
      <c r="C1183" s="384">
        <v>4</v>
      </c>
      <c r="D1183" s="367" t="s">
        <v>5</v>
      </c>
      <c r="E1183" s="367" t="s">
        <v>6</v>
      </c>
      <c r="F1183" s="389" t="s">
        <v>1965</v>
      </c>
      <c r="G1183" s="385">
        <v>45592</v>
      </c>
      <c r="H1183" s="367" t="s">
        <v>9</v>
      </c>
      <c r="I1183" s="368" t="str">
        <f>VLOOKUP(H1183,'[2]Source Codes'!A$2:B$115,2,FALSE)</f>
        <v>On Line Journal Entries</v>
      </c>
      <c r="J1183" s="412">
        <v>1622945.7</v>
      </c>
      <c r="K1183" s="385">
        <v>45601</v>
      </c>
      <c r="L1183" s="387" t="s">
        <v>1974</v>
      </c>
      <c r="M1183" s="390">
        <v>45601.443842592591</v>
      </c>
      <c r="N1183" s="367" t="s">
        <v>356</v>
      </c>
      <c r="O1183" s="367" t="s">
        <v>371</v>
      </c>
    </row>
    <row r="1184" spans="1:15" ht="45" hidden="1" outlineLevel="1">
      <c r="B1184" s="384">
        <v>2025</v>
      </c>
      <c r="C1184" s="384">
        <v>4</v>
      </c>
      <c r="D1184" s="367" t="s">
        <v>5</v>
      </c>
      <c r="E1184" s="367" t="s">
        <v>6</v>
      </c>
      <c r="F1184" s="389" t="s">
        <v>1966</v>
      </c>
      <c r="G1184" s="385">
        <v>45592</v>
      </c>
      <c r="H1184" s="367" t="s">
        <v>9</v>
      </c>
      <c r="I1184" s="368" t="str">
        <f>VLOOKUP(H1184,'[2]Source Codes'!A$2:B$115,2,FALSE)</f>
        <v>On Line Journal Entries</v>
      </c>
      <c r="J1184" s="412">
        <v>1087818.74</v>
      </c>
      <c r="K1184" s="385">
        <v>45601</v>
      </c>
      <c r="L1184" s="387" t="s">
        <v>1972</v>
      </c>
      <c r="M1184" s="390">
        <v>45601.450115740743</v>
      </c>
      <c r="N1184" s="367" t="s">
        <v>356</v>
      </c>
      <c r="O1184" s="367" t="s">
        <v>371</v>
      </c>
    </row>
    <row r="1185" spans="1:15" ht="30" hidden="1" outlineLevel="1">
      <c r="B1185" s="384">
        <v>2025</v>
      </c>
      <c r="C1185" s="384">
        <v>4</v>
      </c>
      <c r="D1185" s="367" t="s">
        <v>5</v>
      </c>
      <c r="E1185" s="367" t="s">
        <v>6</v>
      </c>
      <c r="F1185" s="389" t="s">
        <v>1967</v>
      </c>
      <c r="G1185" s="385">
        <v>45592</v>
      </c>
      <c r="H1185" s="367" t="s">
        <v>9</v>
      </c>
      <c r="I1185" s="368" t="str">
        <f>VLOOKUP(H1185,'[2]Source Codes'!A$2:B$115,2,FALSE)</f>
        <v>On Line Journal Entries</v>
      </c>
      <c r="J1185" s="412">
        <v>-3267145.83</v>
      </c>
      <c r="K1185" s="385">
        <v>45601</v>
      </c>
      <c r="L1185" s="387" t="s">
        <v>1971</v>
      </c>
      <c r="M1185" s="390">
        <v>45601.442488425928</v>
      </c>
      <c r="N1185" s="367" t="s">
        <v>356</v>
      </c>
      <c r="O1185" s="367" t="s">
        <v>371</v>
      </c>
    </row>
    <row r="1186" spans="1:15" ht="15" hidden="1" outlineLevel="1">
      <c r="B1186" s="384">
        <v>2025</v>
      </c>
      <c r="C1186" s="384">
        <v>4</v>
      </c>
      <c r="D1186" s="367" t="s">
        <v>5</v>
      </c>
      <c r="E1186" s="367" t="s">
        <v>6</v>
      </c>
      <c r="F1186" s="389" t="s">
        <v>1968</v>
      </c>
      <c r="G1186" s="385">
        <v>45587</v>
      </c>
      <c r="H1186" s="367" t="s">
        <v>9</v>
      </c>
      <c r="I1186" s="368" t="str">
        <f>VLOOKUP(H1186,'[2]Source Codes'!A$2:B$115,2,FALSE)</f>
        <v>On Line Journal Entries</v>
      </c>
      <c r="J1186" s="412">
        <v>-27538575.829999998</v>
      </c>
      <c r="K1186" s="385">
        <v>45601</v>
      </c>
      <c r="L1186" s="387" t="s">
        <v>1973</v>
      </c>
      <c r="M1186" s="390">
        <v>45601.510520833333</v>
      </c>
      <c r="N1186" s="367" t="s">
        <v>361</v>
      </c>
      <c r="O1186" s="367" t="s">
        <v>368</v>
      </c>
    </row>
    <row r="1187" spans="1:15" ht="15" hidden="1" outlineLevel="1">
      <c r="B1187" s="384">
        <v>2025</v>
      </c>
      <c r="C1187" s="384">
        <v>4</v>
      </c>
      <c r="D1187" s="367" t="s">
        <v>5</v>
      </c>
      <c r="E1187" s="367" t="s">
        <v>6</v>
      </c>
      <c r="F1187" s="389" t="s">
        <v>1969</v>
      </c>
      <c r="G1187" s="385">
        <v>45595</v>
      </c>
      <c r="H1187" s="367" t="s">
        <v>7</v>
      </c>
      <c r="I1187" s="368" t="str">
        <f>VLOOKUP(H1187,'[2]Source Codes'!A$2:B$115,2,FALSE)</f>
        <v>HRMS Interface Journals</v>
      </c>
      <c r="J1187" s="412">
        <v>-62249633.310000002</v>
      </c>
      <c r="K1187" s="385">
        <v>45601</v>
      </c>
      <c r="L1187" s="387" t="s">
        <v>1970</v>
      </c>
      <c r="M1187" s="390">
        <v>45601.321608796294</v>
      </c>
      <c r="N1187" s="367" t="s">
        <v>365</v>
      </c>
      <c r="O1187" s="367" t="s">
        <v>366</v>
      </c>
    </row>
    <row r="1188" spans="1:15" ht="12.75" customHeight="1" collapsed="1">
      <c r="J1188" s="413">
        <f>SUM(J1175:J1187)</f>
        <v>-34779787.639999993</v>
      </c>
    </row>
    <row r="1190" spans="1:15" ht="12.75" customHeight="1">
      <c r="A1190" s="378" t="s">
        <v>1981</v>
      </c>
    </row>
    <row r="1191" spans="1:15" ht="30" hidden="1" outlineLevel="1">
      <c r="B1191" s="384">
        <v>2025</v>
      </c>
      <c r="C1191" s="384">
        <v>5</v>
      </c>
      <c r="D1191" s="367" t="s">
        <v>5</v>
      </c>
      <c r="E1191" s="367" t="s">
        <v>6</v>
      </c>
      <c r="F1191" s="389" t="s">
        <v>1982</v>
      </c>
      <c r="G1191" s="385">
        <v>45602</v>
      </c>
      <c r="H1191" s="367" t="s">
        <v>62</v>
      </c>
      <c r="I1191" s="368" t="str">
        <f>VLOOKUP(H1191,'[2]Source Codes'!A$2:B$115,2,FALSE)</f>
        <v>AP Cancellation</v>
      </c>
      <c r="J1191" s="412">
        <v>1500000</v>
      </c>
      <c r="K1191" s="385">
        <v>45602</v>
      </c>
      <c r="L1191" s="387" t="s">
        <v>1989</v>
      </c>
      <c r="M1191" s="390">
        <v>45602.793379629627</v>
      </c>
      <c r="N1191" s="367" t="s">
        <v>360</v>
      </c>
      <c r="O1191" s="367" t="s">
        <v>375</v>
      </c>
    </row>
    <row r="1192" spans="1:15" ht="30" hidden="1" outlineLevel="1">
      <c r="B1192" s="384">
        <v>2025</v>
      </c>
      <c r="C1192" s="384">
        <v>5</v>
      </c>
      <c r="D1192" s="367" t="s">
        <v>5</v>
      </c>
      <c r="E1192" s="367" t="s">
        <v>6</v>
      </c>
      <c r="F1192" s="389" t="s">
        <v>1983</v>
      </c>
      <c r="G1192" s="385">
        <v>45602</v>
      </c>
      <c r="H1192" s="367" t="s">
        <v>12</v>
      </c>
      <c r="I1192" s="368" t="str">
        <f>VLOOKUP(H1192,'[2]Source Codes'!A$2:B$115,2,FALSE)</f>
        <v>AR Direct Cash Journal</v>
      </c>
      <c r="J1192" s="412">
        <v>5249101.28</v>
      </c>
      <c r="K1192" s="385">
        <v>45602</v>
      </c>
      <c r="L1192" s="387" t="s">
        <v>1988</v>
      </c>
      <c r="M1192" s="390">
        <v>45602.75209490741</v>
      </c>
      <c r="N1192" s="367" t="s">
        <v>361</v>
      </c>
      <c r="O1192" s="367" t="s">
        <v>362</v>
      </c>
    </row>
    <row r="1193" spans="1:15" ht="15" hidden="1" outlineLevel="1">
      <c r="B1193" s="384">
        <v>2025</v>
      </c>
      <c r="C1193" s="384">
        <v>5</v>
      </c>
      <c r="D1193" s="367" t="s">
        <v>5</v>
      </c>
      <c r="E1193" s="367" t="s">
        <v>6</v>
      </c>
      <c r="F1193" s="389" t="s">
        <v>1984</v>
      </c>
      <c r="G1193" s="385">
        <v>45601</v>
      </c>
      <c r="H1193" s="367" t="s">
        <v>9</v>
      </c>
      <c r="I1193" s="368" t="str">
        <f>VLOOKUP(H1193,'[2]Source Codes'!A$2:B$115,2,FALSE)</f>
        <v>On Line Journal Entries</v>
      </c>
      <c r="J1193" s="412">
        <v>-1542083</v>
      </c>
      <c r="K1193" s="385">
        <v>45602</v>
      </c>
      <c r="L1193" s="387" t="s">
        <v>1986</v>
      </c>
      <c r="M1193" s="390">
        <v>45602.869791666664</v>
      </c>
      <c r="N1193" s="367" t="s">
        <v>356</v>
      </c>
      <c r="O1193" s="367" t="s">
        <v>368</v>
      </c>
    </row>
    <row r="1194" spans="1:15" ht="45" hidden="1" outlineLevel="1">
      <c r="B1194" s="384">
        <v>2025</v>
      </c>
      <c r="C1194" s="384">
        <v>4</v>
      </c>
      <c r="D1194" s="367" t="s">
        <v>5</v>
      </c>
      <c r="E1194" s="367" t="s">
        <v>6</v>
      </c>
      <c r="F1194" s="389" t="s">
        <v>1985</v>
      </c>
      <c r="G1194" s="385">
        <v>45588</v>
      </c>
      <c r="H1194" s="367" t="s">
        <v>9</v>
      </c>
      <c r="I1194" s="368" t="str">
        <f>VLOOKUP(H1194,'[2]Source Codes'!A$2:B$115,2,FALSE)</f>
        <v>On Line Journal Entries</v>
      </c>
      <c r="J1194" s="412">
        <v>-46213117.18</v>
      </c>
      <c r="K1194" s="385">
        <v>45602</v>
      </c>
      <c r="L1194" s="387" t="s">
        <v>1987</v>
      </c>
      <c r="M1194" s="390">
        <v>45602.347916666666</v>
      </c>
      <c r="N1194" s="367" t="s">
        <v>360</v>
      </c>
      <c r="O1194" s="367" t="s">
        <v>368</v>
      </c>
    </row>
    <row r="1195" spans="1:15" ht="12.75" customHeight="1" collapsed="1">
      <c r="J1195" s="413">
        <f>SUM(J1191:J1194)</f>
        <v>-41006098.899999999</v>
      </c>
    </row>
    <row r="1197" spans="1:15" ht="12.75" customHeight="1">
      <c r="A1197" s="378" t="s">
        <v>1990</v>
      </c>
    </row>
    <row r="1198" spans="1:15" ht="60" hidden="1" outlineLevel="1">
      <c r="B1198" s="384">
        <v>2025</v>
      </c>
      <c r="C1198" s="384">
        <v>5</v>
      </c>
      <c r="D1198" s="367" t="s">
        <v>5</v>
      </c>
      <c r="E1198" s="367" t="s">
        <v>6</v>
      </c>
      <c r="F1198" s="389" t="s">
        <v>1991</v>
      </c>
      <c r="G1198" s="385">
        <v>45603</v>
      </c>
      <c r="H1198" s="367" t="s">
        <v>14</v>
      </c>
      <c r="I1198" s="368" t="str">
        <f>VLOOKUP(H1198,'[2]Source Codes'!A$2:B$115,2,FALSE)</f>
        <v>AP Warrant Issuance</v>
      </c>
      <c r="J1198" s="412">
        <v>-3136141.74</v>
      </c>
      <c r="K1198" s="385">
        <v>45603</v>
      </c>
      <c r="L1198" s="387" t="s">
        <v>1993</v>
      </c>
      <c r="M1198" s="390">
        <v>45603.793437499997</v>
      </c>
      <c r="N1198" s="367" t="s">
        <v>356</v>
      </c>
      <c r="O1198" s="367" t="s">
        <v>368</v>
      </c>
    </row>
    <row r="1199" spans="1:15" ht="12.75" hidden="1" customHeight="1" outlineLevel="1">
      <c r="B1199" s="384">
        <v>2025</v>
      </c>
      <c r="C1199" s="384">
        <v>5</v>
      </c>
      <c r="D1199" s="367" t="s">
        <v>5</v>
      </c>
      <c r="E1199" s="367" t="s">
        <v>6</v>
      </c>
      <c r="F1199" s="389" t="s">
        <v>1992</v>
      </c>
      <c r="G1199" s="385">
        <v>45603</v>
      </c>
      <c r="H1199" s="367" t="s">
        <v>11</v>
      </c>
      <c r="I1199" s="368" t="str">
        <f>VLOOKUP(H1199,'[2]Source Codes'!A$2:B$115,2,FALSE)</f>
        <v>AR Payments</v>
      </c>
      <c r="J1199" s="412">
        <v>1929011.64</v>
      </c>
      <c r="K1199" s="385">
        <v>45603</v>
      </c>
      <c r="L1199" s="387" t="s">
        <v>1994</v>
      </c>
      <c r="M1199" s="390">
        <v>45603.751747685186</v>
      </c>
      <c r="N1199" s="367" t="s">
        <v>359</v>
      </c>
      <c r="O1199" s="367" t="s">
        <v>362</v>
      </c>
    </row>
    <row r="1200" spans="1:15" ht="12.75" hidden="1" customHeight="1" outlineLevel="1">
      <c r="J1200" s="413">
        <f>SUM(J1198:J1199)</f>
        <v>-1207130.1000000003</v>
      </c>
    </row>
    <row r="1201" spans="1:15" ht="12.75" customHeight="1" collapsed="1"/>
    <row r="1202" spans="1:15" ht="12.75" customHeight="1">
      <c r="A1202" s="378" t="s">
        <v>1995</v>
      </c>
    </row>
    <row r="1203" spans="1:15" ht="30" hidden="1" outlineLevel="1">
      <c r="B1203" s="384">
        <v>2025</v>
      </c>
      <c r="C1203" s="384">
        <v>5</v>
      </c>
      <c r="D1203" s="367" t="s">
        <v>5</v>
      </c>
      <c r="E1203" s="367" t="s">
        <v>6</v>
      </c>
      <c r="F1203" s="389" t="s">
        <v>1996</v>
      </c>
      <c r="G1203" s="385">
        <v>45604</v>
      </c>
      <c r="H1203" s="367" t="s">
        <v>12</v>
      </c>
      <c r="I1203" s="368" t="str">
        <f>VLOOKUP(H1203,'[2]Source Codes'!A$2:B$115,2,FALSE)</f>
        <v>AR Direct Cash Journal</v>
      </c>
      <c r="J1203" s="412">
        <v>3200395.16</v>
      </c>
      <c r="K1203" s="385">
        <v>45604</v>
      </c>
      <c r="L1203" s="387" t="s">
        <v>1997</v>
      </c>
      <c r="M1203" s="390">
        <v>45604.751550925925</v>
      </c>
      <c r="N1203" s="367" t="s">
        <v>361</v>
      </c>
      <c r="O1203" s="367" t="s">
        <v>362</v>
      </c>
    </row>
    <row r="1204" spans="1:15" ht="12.75" customHeight="1" collapsed="1">
      <c r="J1204" s="413">
        <f>SUM(J1203)</f>
        <v>3200395.16</v>
      </c>
    </row>
    <row r="1206" spans="1:15" ht="12.75" customHeight="1">
      <c r="A1206" s="378" t="s">
        <v>1998</v>
      </c>
    </row>
    <row r="1207" spans="1:15" ht="30" hidden="1" outlineLevel="1">
      <c r="B1207" s="384">
        <v>2025</v>
      </c>
      <c r="C1207" s="384">
        <v>5</v>
      </c>
      <c r="D1207" s="367" t="s">
        <v>5</v>
      </c>
      <c r="E1207" s="367" t="s">
        <v>6</v>
      </c>
      <c r="F1207" s="389" t="s">
        <v>1999</v>
      </c>
      <c r="G1207" s="385">
        <v>45608</v>
      </c>
      <c r="H1207" s="367" t="s">
        <v>11</v>
      </c>
      <c r="I1207" s="368" t="str">
        <f>VLOOKUP(H1207,'[2]Source Codes'!A$2:B$115,2,FALSE)</f>
        <v>AR Payments</v>
      </c>
      <c r="J1207" s="412">
        <v>1220640.19</v>
      </c>
      <c r="K1207" s="385">
        <v>45608</v>
      </c>
      <c r="L1207" s="387" t="s">
        <v>505</v>
      </c>
      <c r="M1207" s="390">
        <v>45608.751770833333</v>
      </c>
      <c r="N1207" s="367" t="s">
        <v>356</v>
      </c>
      <c r="O1207" s="367" t="s">
        <v>357</v>
      </c>
    </row>
    <row r="1208" spans="1:15" ht="30" hidden="1" outlineLevel="1">
      <c r="B1208" s="384">
        <v>2025</v>
      </c>
      <c r="C1208" s="384">
        <v>5</v>
      </c>
      <c r="D1208" s="367" t="s">
        <v>5</v>
      </c>
      <c r="E1208" s="367" t="s">
        <v>6</v>
      </c>
      <c r="F1208" s="389" t="s">
        <v>2000</v>
      </c>
      <c r="G1208" s="385">
        <v>45604</v>
      </c>
      <c r="H1208" s="367" t="s">
        <v>11</v>
      </c>
      <c r="I1208" s="368" t="str">
        <f>VLOOKUP(H1208,'[2]Source Codes'!A$2:B$115,2,FALSE)</f>
        <v>AR Payments</v>
      </c>
      <c r="J1208" s="412">
        <v>1508242.47</v>
      </c>
      <c r="K1208" s="385">
        <v>45608</v>
      </c>
      <c r="L1208" s="387" t="s">
        <v>2001</v>
      </c>
      <c r="M1208" s="390">
        <v>45608.751770833333</v>
      </c>
      <c r="N1208" s="367" t="s">
        <v>361</v>
      </c>
      <c r="O1208" s="367" t="s">
        <v>357</v>
      </c>
    </row>
    <row r="1209" spans="1:15" ht="12.75" customHeight="1" collapsed="1">
      <c r="J1209" s="413">
        <f>SUM(J1207:J1208)</f>
        <v>2728882.66</v>
      </c>
    </row>
    <row r="1211" spans="1:15" ht="12.75" customHeight="1">
      <c r="A1211" s="378" t="s">
        <v>2003</v>
      </c>
    </row>
    <row r="1212" spans="1:15" ht="30" hidden="1" outlineLevel="1">
      <c r="B1212" s="384">
        <v>2025</v>
      </c>
      <c r="C1212" s="384">
        <v>5</v>
      </c>
      <c r="D1212" s="367" t="s">
        <v>5</v>
      </c>
      <c r="E1212" s="367" t="s">
        <v>6</v>
      </c>
      <c r="F1212" s="389" t="s">
        <v>2004</v>
      </c>
      <c r="G1212" s="385">
        <v>45610</v>
      </c>
      <c r="H1212" s="367" t="s">
        <v>14</v>
      </c>
      <c r="I1212" s="368" t="str">
        <f>VLOOKUP(H1212,'[2]Source Codes'!A$2:B$115,2,FALSE)</f>
        <v>AP Warrant Issuance</v>
      </c>
      <c r="J1212" s="412">
        <v>-1694940.75</v>
      </c>
      <c r="K1212" s="385">
        <v>45610</v>
      </c>
      <c r="L1212" s="387" t="s">
        <v>2010</v>
      </c>
      <c r="M1212" s="390">
        <v>45610.79347222222</v>
      </c>
      <c r="N1212" s="367" t="s">
        <v>356</v>
      </c>
      <c r="O1212" s="367" t="s">
        <v>368</v>
      </c>
    </row>
    <row r="1213" spans="1:15" ht="30" hidden="1" outlineLevel="1">
      <c r="B1213" s="384">
        <v>2025</v>
      </c>
      <c r="C1213" s="384">
        <v>5</v>
      </c>
      <c r="D1213" s="367" t="s">
        <v>5</v>
      </c>
      <c r="E1213" s="367" t="s">
        <v>6</v>
      </c>
      <c r="F1213" s="389" t="s">
        <v>2005</v>
      </c>
      <c r="G1213" s="385">
        <v>45610</v>
      </c>
      <c r="H1213" s="367" t="s">
        <v>14</v>
      </c>
      <c r="I1213" s="368" t="str">
        <f>VLOOKUP(H1213,'[2]Source Codes'!A$2:B$115,2,FALSE)</f>
        <v>AP Warrant Issuance</v>
      </c>
      <c r="J1213" s="412">
        <v>-1148179.73</v>
      </c>
      <c r="K1213" s="385">
        <v>45610</v>
      </c>
      <c r="L1213" s="387" t="s">
        <v>2011</v>
      </c>
      <c r="M1213" s="390">
        <v>45610.79347222222</v>
      </c>
      <c r="N1213" s="367" t="s">
        <v>356</v>
      </c>
      <c r="O1213" s="367" t="s">
        <v>364</v>
      </c>
    </row>
    <row r="1214" spans="1:15" ht="30" hidden="1" outlineLevel="1">
      <c r="B1214" s="384">
        <v>2025</v>
      </c>
      <c r="C1214" s="384">
        <v>5</v>
      </c>
      <c r="D1214" s="367" t="s">
        <v>5</v>
      </c>
      <c r="E1214" s="367" t="s">
        <v>6</v>
      </c>
      <c r="F1214" s="389" t="s">
        <v>2006</v>
      </c>
      <c r="G1214" s="385">
        <v>45610</v>
      </c>
      <c r="H1214" s="367" t="s">
        <v>11</v>
      </c>
      <c r="I1214" s="368" t="str">
        <f>VLOOKUP(H1214,'[2]Source Codes'!A$2:B$115,2,FALSE)</f>
        <v>AR Payments</v>
      </c>
      <c r="J1214" s="412">
        <v>1369639.77</v>
      </c>
      <c r="K1214" s="385">
        <v>45610</v>
      </c>
      <c r="L1214" s="387" t="s">
        <v>2012</v>
      </c>
      <c r="M1214" s="390">
        <v>45610.751863425925</v>
      </c>
      <c r="N1214" s="367" t="s">
        <v>356</v>
      </c>
      <c r="O1214" s="367" t="s">
        <v>367</v>
      </c>
    </row>
    <row r="1215" spans="1:15" ht="30" hidden="1" outlineLevel="1">
      <c r="B1215" s="384">
        <v>2025</v>
      </c>
      <c r="C1215" s="384">
        <v>5</v>
      </c>
      <c r="D1215" s="367" t="s">
        <v>5</v>
      </c>
      <c r="E1215" s="367" t="s">
        <v>6</v>
      </c>
      <c r="F1215" s="389" t="s">
        <v>2007</v>
      </c>
      <c r="G1215" s="385">
        <v>45604</v>
      </c>
      <c r="H1215" s="367" t="s">
        <v>11</v>
      </c>
      <c r="I1215" s="368" t="str">
        <f>VLOOKUP(H1215,'[2]Source Codes'!A$2:B$115,2,FALSE)</f>
        <v>AR Payments</v>
      </c>
      <c r="J1215" s="412">
        <v>2833499.24</v>
      </c>
      <c r="K1215" s="385">
        <v>45610</v>
      </c>
      <c r="L1215" s="387" t="s">
        <v>397</v>
      </c>
      <c r="M1215" s="390">
        <v>45610.751863425925</v>
      </c>
      <c r="N1215" s="367" t="s">
        <v>356</v>
      </c>
      <c r="O1215" s="367" t="s">
        <v>357</v>
      </c>
    </row>
    <row r="1216" spans="1:15" ht="15" hidden="1" outlineLevel="1">
      <c r="B1216" s="384">
        <v>2025</v>
      </c>
      <c r="C1216" s="384">
        <v>5</v>
      </c>
      <c r="D1216" s="367" t="s">
        <v>5</v>
      </c>
      <c r="E1216" s="367" t="s">
        <v>6</v>
      </c>
      <c r="F1216" s="389" t="s">
        <v>2008</v>
      </c>
      <c r="G1216" s="385">
        <v>45610</v>
      </c>
      <c r="H1216" s="367" t="s">
        <v>9</v>
      </c>
      <c r="I1216" s="368" t="str">
        <f>VLOOKUP(H1216,'[2]Source Codes'!A$2:B$115,2,FALSE)</f>
        <v>On Line Journal Entries</v>
      </c>
      <c r="J1216" s="412">
        <v>4352469</v>
      </c>
      <c r="K1216" s="385">
        <v>45610</v>
      </c>
      <c r="L1216" s="387" t="s">
        <v>2009</v>
      </c>
      <c r="M1216" s="390">
        <v>45610.63385416667</v>
      </c>
      <c r="N1216" s="367" t="s">
        <v>356</v>
      </c>
      <c r="O1216" s="367" t="s">
        <v>369</v>
      </c>
    </row>
    <row r="1217" spans="1:15" ht="12.75" customHeight="1" collapsed="1">
      <c r="J1217" s="413">
        <f>SUM(J1212:J1216)</f>
        <v>5712487.5300000003</v>
      </c>
    </row>
    <row r="1219" spans="1:15" ht="12.75" customHeight="1">
      <c r="A1219" s="378" t="s">
        <v>2013</v>
      </c>
    </row>
    <row r="1220" spans="1:15" ht="60" hidden="1" outlineLevel="1">
      <c r="B1220" s="384">
        <v>2025</v>
      </c>
      <c r="C1220" s="384">
        <v>5</v>
      </c>
      <c r="D1220" s="367" t="s">
        <v>5</v>
      </c>
      <c r="E1220" s="367" t="s">
        <v>6</v>
      </c>
      <c r="F1220" s="389" t="s">
        <v>2014</v>
      </c>
      <c r="G1220" s="385">
        <v>45597</v>
      </c>
      <c r="H1220" s="367" t="s">
        <v>11</v>
      </c>
      <c r="I1220" s="368" t="str">
        <f>VLOOKUP(H1220,'[2]Source Codes'!A$2:B$115,2,FALSE)</f>
        <v>AR Payments</v>
      </c>
      <c r="J1220" s="412">
        <v>1208530.21</v>
      </c>
      <c r="K1220" s="385">
        <v>45611</v>
      </c>
      <c r="L1220" s="387" t="s">
        <v>2015</v>
      </c>
      <c r="M1220" s="390">
        <v>45611.751875000002</v>
      </c>
      <c r="N1220" s="367" t="s">
        <v>356</v>
      </c>
      <c r="O1220" s="367" t="s">
        <v>357</v>
      </c>
    </row>
    <row r="1221" spans="1:15" ht="12.75" customHeight="1" collapsed="1">
      <c r="J1221" s="413">
        <f>SUM(J1220)</f>
        <v>1208530.21</v>
      </c>
    </row>
    <row r="1223" spans="1:15" ht="12.75" customHeight="1">
      <c r="A1223" s="378" t="s">
        <v>2016</v>
      </c>
    </row>
    <row r="1224" spans="1:15" ht="30" hidden="1" outlineLevel="1">
      <c r="B1224" s="384">
        <v>2025</v>
      </c>
      <c r="C1224" s="384">
        <v>5</v>
      </c>
      <c r="D1224" s="367" t="s">
        <v>5</v>
      </c>
      <c r="E1224" s="367" t="s">
        <v>6</v>
      </c>
      <c r="F1224" s="389" t="s">
        <v>2017</v>
      </c>
      <c r="G1224" s="385">
        <v>45614</v>
      </c>
      <c r="H1224" s="367" t="s">
        <v>14</v>
      </c>
      <c r="I1224" s="368" t="str">
        <f>VLOOKUP(H1224,'[2]Source Codes'!A$2:B$115,2,FALSE)</f>
        <v>AP Warrant Issuance</v>
      </c>
      <c r="J1224" s="412">
        <v>-1049374.2</v>
      </c>
      <c r="K1224" s="385">
        <v>45614</v>
      </c>
      <c r="L1224" s="387" t="s">
        <v>2028</v>
      </c>
      <c r="M1224" s="390">
        <v>45614.794131944444</v>
      </c>
      <c r="N1224" s="367" t="s">
        <v>356</v>
      </c>
      <c r="O1224" s="367" t="s">
        <v>368</v>
      </c>
    </row>
    <row r="1225" spans="1:15" ht="30" hidden="1" outlineLevel="1">
      <c r="B1225" s="384">
        <v>2025</v>
      </c>
      <c r="C1225" s="384">
        <v>5</v>
      </c>
      <c r="D1225" s="367" t="s">
        <v>5</v>
      </c>
      <c r="E1225" s="367" t="s">
        <v>6</v>
      </c>
      <c r="F1225" s="389" t="s">
        <v>2018</v>
      </c>
      <c r="G1225" s="385">
        <v>45616</v>
      </c>
      <c r="H1225" s="367" t="s">
        <v>14</v>
      </c>
      <c r="I1225" s="368" t="str">
        <f>VLOOKUP(H1225,'[2]Source Codes'!A$2:B$115,2,FALSE)</f>
        <v>AP Warrant Issuance</v>
      </c>
      <c r="J1225" s="412">
        <v>-2194418.41</v>
      </c>
      <c r="K1225" s="385">
        <v>45614</v>
      </c>
      <c r="L1225" s="387" t="s">
        <v>2029</v>
      </c>
      <c r="M1225" s="390">
        <v>45614.794131944444</v>
      </c>
      <c r="N1225" s="367" t="s">
        <v>356</v>
      </c>
      <c r="O1225" s="367" t="s">
        <v>368</v>
      </c>
    </row>
    <row r="1226" spans="1:15" ht="30" hidden="1" outlineLevel="1">
      <c r="B1226" s="384">
        <v>2025</v>
      </c>
      <c r="C1226" s="384">
        <v>5</v>
      </c>
      <c r="D1226" s="367" t="s">
        <v>5</v>
      </c>
      <c r="E1226" s="367" t="s">
        <v>6</v>
      </c>
      <c r="F1226" s="389" t="s">
        <v>2019</v>
      </c>
      <c r="G1226" s="385">
        <v>45614</v>
      </c>
      <c r="H1226" s="367" t="s">
        <v>11</v>
      </c>
      <c r="I1226" s="368" t="str">
        <f>VLOOKUP(H1226,'[2]Source Codes'!A$2:B$115,2,FALSE)</f>
        <v>AR Payments</v>
      </c>
      <c r="J1226" s="412">
        <v>1549943.21</v>
      </c>
      <c r="K1226" s="385">
        <v>45614</v>
      </c>
      <c r="L1226" s="387" t="s">
        <v>394</v>
      </c>
      <c r="M1226" s="390">
        <v>45614.753657407404</v>
      </c>
      <c r="N1226" s="367" t="s">
        <v>356</v>
      </c>
      <c r="O1226" s="367" t="s">
        <v>357</v>
      </c>
    </row>
    <row r="1227" spans="1:15" ht="30" hidden="1" outlineLevel="1">
      <c r="B1227" s="384">
        <v>2025</v>
      </c>
      <c r="C1227" s="384">
        <v>5</v>
      </c>
      <c r="D1227" s="367" t="s">
        <v>5</v>
      </c>
      <c r="E1227" s="367" t="s">
        <v>6</v>
      </c>
      <c r="F1227" s="389" t="s">
        <v>2020</v>
      </c>
      <c r="G1227" s="385">
        <v>45610</v>
      </c>
      <c r="H1227" s="367" t="s">
        <v>9</v>
      </c>
      <c r="I1227" s="368" t="str">
        <f>VLOOKUP(H1227,'[2]Source Codes'!A$2:B$115,2,FALSE)</f>
        <v>On Line Journal Entries</v>
      </c>
      <c r="J1227" s="412">
        <v>5407594</v>
      </c>
      <c r="K1227" s="385">
        <v>45614</v>
      </c>
      <c r="L1227" s="387" t="s">
        <v>334</v>
      </c>
      <c r="M1227" s="390">
        <v>45614.870856481481</v>
      </c>
      <c r="N1227" s="368" t="s">
        <v>359</v>
      </c>
      <c r="O1227" s="368" t="s">
        <v>364</v>
      </c>
    </row>
    <row r="1228" spans="1:15" ht="60" hidden="1" outlineLevel="1">
      <c r="B1228" s="384">
        <v>2025</v>
      </c>
      <c r="C1228" s="384">
        <v>5</v>
      </c>
      <c r="D1228" s="367" t="s">
        <v>5</v>
      </c>
      <c r="E1228" s="367" t="s">
        <v>6</v>
      </c>
      <c r="F1228" s="389" t="s">
        <v>2021</v>
      </c>
      <c r="G1228" s="385">
        <v>45610</v>
      </c>
      <c r="H1228" s="367" t="s">
        <v>9</v>
      </c>
      <c r="I1228" s="368" t="str">
        <f>VLOOKUP(H1228,'[2]Source Codes'!A$2:B$115,2,FALSE)</f>
        <v>On Line Journal Entries</v>
      </c>
      <c r="J1228" s="412">
        <v>4027373</v>
      </c>
      <c r="K1228" s="385">
        <v>45614</v>
      </c>
      <c r="L1228" s="387" t="s">
        <v>347</v>
      </c>
      <c r="M1228" s="390">
        <v>45614.870856481481</v>
      </c>
      <c r="N1228" s="368" t="s">
        <v>359</v>
      </c>
      <c r="O1228" s="368" t="s">
        <v>364</v>
      </c>
    </row>
    <row r="1229" spans="1:15" ht="15" hidden="1" outlineLevel="1">
      <c r="B1229" s="384">
        <v>2025</v>
      </c>
      <c r="C1229" s="384">
        <v>5</v>
      </c>
      <c r="D1229" s="367" t="s">
        <v>5</v>
      </c>
      <c r="E1229" s="367" t="s">
        <v>6</v>
      </c>
      <c r="F1229" s="389" t="s">
        <v>2022</v>
      </c>
      <c r="G1229" s="385">
        <v>45610</v>
      </c>
      <c r="H1229" s="367" t="s">
        <v>351</v>
      </c>
      <c r="I1229" s="368" t="str">
        <f>VLOOKUP(H1229,'[2]Source Codes'!A$2:B$115,2,FALSE)</f>
        <v>Treasurer Tax Collector</v>
      </c>
      <c r="J1229" s="412">
        <v>1329172.18</v>
      </c>
      <c r="K1229" s="385">
        <v>45614</v>
      </c>
      <c r="L1229" s="387" t="s">
        <v>2023</v>
      </c>
      <c r="M1229" s="390">
        <v>45614.472118055557</v>
      </c>
      <c r="N1229" s="368" t="s">
        <v>361</v>
      </c>
      <c r="O1229" s="368" t="s">
        <v>380</v>
      </c>
    </row>
    <row r="1230" spans="1:15" ht="15" hidden="1" outlineLevel="1">
      <c r="B1230" s="384">
        <v>2025</v>
      </c>
      <c r="C1230" s="384">
        <v>5</v>
      </c>
      <c r="D1230" s="367" t="s">
        <v>5</v>
      </c>
      <c r="E1230" s="367" t="s">
        <v>6</v>
      </c>
      <c r="F1230" s="389" t="s">
        <v>2024</v>
      </c>
      <c r="G1230" s="385">
        <v>45609</v>
      </c>
      <c r="H1230" s="367" t="s">
        <v>7</v>
      </c>
      <c r="I1230" s="368" t="str">
        <f>VLOOKUP(H1230,'[2]Source Codes'!A$2:B$115,2,FALSE)</f>
        <v>HRMS Interface Journals</v>
      </c>
      <c r="J1230" s="412">
        <v>-2273432.41</v>
      </c>
      <c r="K1230" s="385">
        <v>45614</v>
      </c>
      <c r="L1230" s="387" t="s">
        <v>2042</v>
      </c>
      <c r="M1230" s="390">
        <v>45615.472118055557</v>
      </c>
      <c r="N1230" s="367" t="s">
        <v>365</v>
      </c>
      <c r="O1230" s="367" t="s">
        <v>366</v>
      </c>
    </row>
    <row r="1231" spans="1:15" ht="15" hidden="1" outlineLevel="1">
      <c r="B1231" s="384">
        <v>2025</v>
      </c>
      <c r="C1231" s="384">
        <v>5</v>
      </c>
      <c r="D1231" s="367" t="s">
        <v>5</v>
      </c>
      <c r="E1231" s="367" t="s">
        <v>6</v>
      </c>
      <c r="F1231" s="389" t="s">
        <v>2025</v>
      </c>
      <c r="G1231" s="385">
        <v>45600</v>
      </c>
      <c r="H1231" s="367" t="s">
        <v>337</v>
      </c>
      <c r="I1231" s="368" t="str">
        <f>VLOOKUP(H1231,'[2]Source Codes'!A$2:B$115,2,FALSE)</f>
        <v>Facilities Mngmnt Intfc Jrnls</v>
      </c>
      <c r="J1231" s="412">
        <v>-2388276.35</v>
      </c>
      <c r="K1231" s="385">
        <v>45614</v>
      </c>
      <c r="L1231" s="387" t="s">
        <v>2027</v>
      </c>
      <c r="M1231" s="390">
        <v>45616.472118055557</v>
      </c>
      <c r="N1231" s="367" t="s">
        <v>356</v>
      </c>
      <c r="O1231" s="367" t="s">
        <v>367</v>
      </c>
    </row>
    <row r="1232" spans="1:15" ht="15" hidden="1" outlineLevel="1">
      <c r="B1232" s="384">
        <v>2025</v>
      </c>
      <c r="C1232" s="384">
        <v>5</v>
      </c>
      <c r="D1232" s="367" t="s">
        <v>5</v>
      </c>
      <c r="E1232" s="367" t="s">
        <v>6</v>
      </c>
      <c r="F1232" s="389" t="s">
        <v>2026</v>
      </c>
      <c r="G1232" s="385">
        <v>45609</v>
      </c>
      <c r="H1232" s="367" t="s">
        <v>7</v>
      </c>
      <c r="I1232" s="368" t="str">
        <f>VLOOKUP(H1232,'[2]Source Codes'!A$2:B$115,2,FALSE)</f>
        <v>HRMS Interface Journals</v>
      </c>
      <c r="J1232" s="412">
        <v>-10475688.449999999</v>
      </c>
      <c r="K1232" s="385">
        <v>45614</v>
      </c>
      <c r="L1232" s="387" t="s">
        <v>2043</v>
      </c>
      <c r="M1232" s="390">
        <v>45617.472118055557</v>
      </c>
      <c r="N1232" s="367" t="s">
        <v>365</v>
      </c>
      <c r="O1232" s="367" t="s">
        <v>366</v>
      </c>
    </row>
    <row r="1233" spans="1:15" ht="12.75" customHeight="1" collapsed="1">
      <c r="J1233" s="413">
        <f>SUM(J1224:J1232)</f>
        <v>-6067107.4299999997</v>
      </c>
    </row>
    <row r="1235" spans="1:15" ht="12.75" customHeight="1">
      <c r="A1235" s="378" t="s">
        <v>2030</v>
      </c>
    </row>
    <row r="1236" spans="1:15" ht="60" hidden="1" outlineLevel="1">
      <c r="B1236" s="384">
        <v>2025</v>
      </c>
      <c r="C1236" s="384">
        <v>5</v>
      </c>
      <c r="D1236" s="367" t="s">
        <v>5</v>
      </c>
      <c r="E1236" s="367" t="s">
        <v>6</v>
      </c>
      <c r="F1236" s="389" t="s">
        <v>2031</v>
      </c>
      <c r="G1236" s="385">
        <v>45617</v>
      </c>
      <c r="H1236" s="367" t="s">
        <v>14</v>
      </c>
      <c r="I1236" s="368" t="str">
        <f>VLOOKUP(H1236,'[2]Source Codes'!A$2:B$115,2,FALSE)</f>
        <v>AP Warrant Issuance</v>
      </c>
      <c r="J1236" s="412">
        <v>-5298707.63</v>
      </c>
      <c r="K1236" s="385">
        <v>45615</v>
      </c>
      <c r="L1236" s="387" t="s">
        <v>2039</v>
      </c>
      <c r="M1236" s="390">
        <v>45615.793888888889</v>
      </c>
      <c r="N1236" s="368" t="s">
        <v>356</v>
      </c>
      <c r="O1236" s="368" t="s">
        <v>364</v>
      </c>
    </row>
    <row r="1237" spans="1:15" ht="30" hidden="1" outlineLevel="1">
      <c r="B1237" s="384">
        <v>2025</v>
      </c>
      <c r="C1237" s="384">
        <v>5</v>
      </c>
      <c r="D1237" s="367" t="s">
        <v>5</v>
      </c>
      <c r="E1237" s="367" t="s">
        <v>6</v>
      </c>
      <c r="F1237" s="389" t="s">
        <v>2032</v>
      </c>
      <c r="G1237" s="385">
        <v>45603</v>
      </c>
      <c r="H1237" s="367" t="s">
        <v>12</v>
      </c>
      <c r="I1237" s="368" t="str">
        <f>VLOOKUP(H1237,'[2]Source Codes'!A$2:B$115,2,FALSE)</f>
        <v>AR Direct Cash Journal</v>
      </c>
      <c r="J1237" s="412">
        <v>1636864.9</v>
      </c>
      <c r="K1237" s="385">
        <v>45615</v>
      </c>
      <c r="L1237" s="387" t="s">
        <v>2040</v>
      </c>
      <c r="M1237" s="390">
        <v>45615.752013888887</v>
      </c>
      <c r="N1237" s="368" t="s">
        <v>356</v>
      </c>
      <c r="O1237" s="368" t="s">
        <v>368</v>
      </c>
    </row>
    <row r="1238" spans="1:15" ht="30" hidden="1" outlineLevel="1">
      <c r="B1238" s="384">
        <v>2025</v>
      </c>
      <c r="C1238" s="384">
        <v>5</v>
      </c>
      <c r="D1238" s="367" t="s">
        <v>5</v>
      </c>
      <c r="E1238" s="367" t="s">
        <v>6</v>
      </c>
      <c r="F1238" s="389" t="s">
        <v>2033</v>
      </c>
      <c r="G1238" s="385">
        <v>45604</v>
      </c>
      <c r="H1238" s="367" t="s">
        <v>12</v>
      </c>
      <c r="I1238" s="368" t="str">
        <f>VLOOKUP(H1238,'[2]Source Codes'!A$2:B$115,2,FALSE)</f>
        <v>AR Direct Cash Journal</v>
      </c>
      <c r="J1238" s="412">
        <v>14440606.84</v>
      </c>
      <c r="K1238" s="385">
        <v>45615</v>
      </c>
      <c r="L1238" s="387" t="s">
        <v>2041</v>
      </c>
      <c r="M1238" s="390">
        <v>45615.752013888887</v>
      </c>
      <c r="N1238" s="368" t="s">
        <v>356</v>
      </c>
      <c r="O1238" s="368" t="s">
        <v>368</v>
      </c>
    </row>
    <row r="1239" spans="1:15" ht="30" hidden="1" outlineLevel="1">
      <c r="B1239" s="384">
        <v>2025</v>
      </c>
      <c r="C1239" s="384">
        <v>5</v>
      </c>
      <c r="D1239" s="367" t="s">
        <v>5</v>
      </c>
      <c r="E1239" s="367" t="s">
        <v>6</v>
      </c>
      <c r="F1239" s="389" t="s">
        <v>2034</v>
      </c>
      <c r="G1239" s="385">
        <v>45611</v>
      </c>
      <c r="H1239" s="367" t="s">
        <v>11</v>
      </c>
      <c r="I1239" s="368" t="str">
        <f>VLOOKUP(H1239,'[2]Source Codes'!A$2:B$115,2,FALSE)</f>
        <v>AR Payments</v>
      </c>
      <c r="J1239" s="412">
        <v>1839468.94</v>
      </c>
      <c r="K1239" s="385">
        <v>45615</v>
      </c>
      <c r="L1239" s="387" t="s">
        <v>958</v>
      </c>
      <c r="M1239" s="390">
        <v>45615.752013888887</v>
      </c>
      <c r="N1239" s="368" t="s">
        <v>356</v>
      </c>
      <c r="O1239" s="368" t="s">
        <v>357</v>
      </c>
    </row>
    <row r="1240" spans="1:15" ht="30" hidden="1" outlineLevel="1">
      <c r="B1240" s="384">
        <v>2025</v>
      </c>
      <c r="C1240" s="384">
        <v>5</v>
      </c>
      <c r="D1240" s="367" t="s">
        <v>5</v>
      </c>
      <c r="E1240" s="367" t="s">
        <v>6</v>
      </c>
      <c r="F1240" s="389" t="s">
        <v>2035</v>
      </c>
      <c r="G1240" s="385">
        <v>45609</v>
      </c>
      <c r="H1240" s="367" t="s">
        <v>9</v>
      </c>
      <c r="I1240" s="368" t="str">
        <f>VLOOKUP(H1240,'[2]Source Codes'!A$2:B$115,2,FALSE)</f>
        <v>On Line Journal Entries</v>
      </c>
      <c r="J1240" s="412">
        <v>6350293</v>
      </c>
      <c r="K1240" s="385">
        <v>45615</v>
      </c>
      <c r="L1240" s="387" t="s">
        <v>2038</v>
      </c>
      <c r="M1240" s="390">
        <v>45615.641956018517</v>
      </c>
      <c r="N1240" s="368" t="s">
        <v>361</v>
      </c>
      <c r="O1240" s="368" t="s">
        <v>357</v>
      </c>
    </row>
    <row r="1241" spans="1:15" ht="45" hidden="1" outlineLevel="1">
      <c r="B1241" s="384">
        <v>2025</v>
      </c>
      <c r="C1241" s="384">
        <v>5</v>
      </c>
      <c r="D1241" s="367" t="s">
        <v>5</v>
      </c>
      <c r="E1241" s="367" t="s">
        <v>6</v>
      </c>
      <c r="F1241" s="389" t="s">
        <v>2036</v>
      </c>
      <c r="G1241" s="385">
        <v>45611</v>
      </c>
      <c r="H1241" s="367" t="s">
        <v>9</v>
      </c>
      <c r="I1241" s="368" t="str">
        <f>VLOOKUP(H1241,'[2]Source Codes'!A$2:B$115,2,FALSE)</f>
        <v>On Line Journal Entries</v>
      </c>
      <c r="J1241" s="412">
        <v>2139163</v>
      </c>
      <c r="K1241" s="385">
        <v>45615</v>
      </c>
      <c r="L1241" s="387" t="s">
        <v>343</v>
      </c>
      <c r="M1241" s="390">
        <v>45615.683935185189</v>
      </c>
      <c r="N1241" s="368" t="s">
        <v>361</v>
      </c>
      <c r="O1241" s="368" t="s">
        <v>364</v>
      </c>
    </row>
    <row r="1242" spans="1:15" ht="15" hidden="1" outlineLevel="1">
      <c r="B1242" s="384">
        <v>2025</v>
      </c>
      <c r="C1242" s="384">
        <v>5</v>
      </c>
      <c r="D1242" s="367" t="s">
        <v>5</v>
      </c>
      <c r="E1242" s="367" t="s">
        <v>6</v>
      </c>
      <c r="F1242" s="389" t="s">
        <v>2037</v>
      </c>
      <c r="G1242" s="385">
        <v>45609</v>
      </c>
      <c r="H1242" s="367" t="s">
        <v>7</v>
      </c>
      <c r="I1242" s="368" t="str">
        <f>VLOOKUP(H1242,'[2]Source Codes'!A$2:B$115,2,FALSE)</f>
        <v>HRMS Interface Journals</v>
      </c>
      <c r="J1242" s="412">
        <v>-69250941.739999995</v>
      </c>
      <c r="K1242" s="385">
        <v>45615</v>
      </c>
      <c r="L1242" s="387" t="s">
        <v>2044</v>
      </c>
      <c r="M1242" s="390">
        <v>45615.312222222223</v>
      </c>
      <c r="N1242" s="367" t="s">
        <v>365</v>
      </c>
      <c r="O1242" s="367" t="s">
        <v>366</v>
      </c>
    </row>
    <row r="1243" spans="1:15" ht="12.75" customHeight="1" collapsed="1">
      <c r="J1243" s="413">
        <f>SUM(J1236:J1242)</f>
        <v>-48143252.689999998</v>
      </c>
    </row>
    <row r="1245" spans="1:15" ht="12.75" customHeight="1">
      <c r="A1245" s="378" t="s">
        <v>2045</v>
      </c>
    </row>
    <row r="1246" spans="1:15" ht="30" hidden="1" outlineLevel="1">
      <c r="B1246" s="384">
        <v>2025</v>
      </c>
      <c r="C1246" s="384">
        <v>5</v>
      </c>
      <c r="D1246" s="367" t="s">
        <v>5</v>
      </c>
      <c r="E1246" s="367" t="s">
        <v>6</v>
      </c>
      <c r="F1246" s="389" t="s">
        <v>2046</v>
      </c>
      <c r="G1246" s="385">
        <v>45618</v>
      </c>
      <c r="H1246" s="367" t="s">
        <v>14</v>
      </c>
      <c r="I1246" s="368" t="str">
        <f>VLOOKUP(H1246,'[2]Source Codes'!A$2:B$115,2,FALSE)</f>
        <v>AP Warrant Issuance</v>
      </c>
      <c r="J1246" s="412">
        <v>-2554869.9500000002</v>
      </c>
      <c r="K1246" s="385">
        <v>45616</v>
      </c>
      <c r="L1246" s="387" t="s">
        <v>2047</v>
      </c>
      <c r="M1246" s="390">
        <v>45616.793761574074</v>
      </c>
      <c r="N1246" s="367" t="s">
        <v>356</v>
      </c>
      <c r="O1246" s="367" t="s">
        <v>368</v>
      </c>
    </row>
    <row r="1247" spans="1:15" ht="12.75" customHeight="1" collapsed="1">
      <c r="J1247" s="413">
        <f>SUM(J1246)</f>
        <v>-2554869.9500000002</v>
      </c>
    </row>
    <row r="1249" spans="1:15" ht="12.75" customHeight="1">
      <c r="A1249" s="378" t="s">
        <v>2048</v>
      </c>
    </row>
    <row r="1250" spans="1:15" ht="30" hidden="1" outlineLevel="1">
      <c r="B1250" s="384">
        <v>2025</v>
      </c>
      <c r="C1250" s="384">
        <v>5</v>
      </c>
      <c r="D1250" s="367" t="s">
        <v>5</v>
      </c>
      <c r="E1250" s="367" t="s">
        <v>6</v>
      </c>
      <c r="F1250" s="389" t="s">
        <v>2049</v>
      </c>
      <c r="G1250" s="385">
        <v>45617</v>
      </c>
      <c r="H1250" s="367" t="s">
        <v>14</v>
      </c>
      <c r="I1250" s="368" t="str">
        <f>VLOOKUP(H1250,'[2]Source Codes'!A$2:B$115,2,FALSE)</f>
        <v>AP Warrant Issuance</v>
      </c>
      <c r="J1250" s="412">
        <v>-2316940.59</v>
      </c>
      <c r="K1250" s="385">
        <v>45617</v>
      </c>
      <c r="L1250" s="387" t="s">
        <v>2056</v>
      </c>
      <c r="M1250" s="390">
        <v>45617.793854166666</v>
      </c>
      <c r="N1250" s="367" t="s">
        <v>356</v>
      </c>
      <c r="O1250" s="367" t="s">
        <v>368</v>
      </c>
    </row>
    <row r="1251" spans="1:15" ht="30" hidden="1" outlineLevel="1">
      <c r="B1251" s="384">
        <v>2025</v>
      </c>
      <c r="C1251" s="384">
        <v>5</v>
      </c>
      <c r="D1251" s="367" t="s">
        <v>5</v>
      </c>
      <c r="E1251" s="367" t="s">
        <v>6</v>
      </c>
      <c r="F1251" s="389" t="s">
        <v>2050</v>
      </c>
      <c r="G1251" s="385">
        <v>45615</v>
      </c>
      <c r="H1251" s="367" t="s">
        <v>11</v>
      </c>
      <c r="I1251" s="368" t="str">
        <f>VLOOKUP(H1251,'[2]Source Codes'!A$2:B$115,2,FALSE)</f>
        <v>AR Payments</v>
      </c>
      <c r="J1251" s="412">
        <v>1161543.6200000001</v>
      </c>
      <c r="K1251" s="385">
        <v>45617</v>
      </c>
      <c r="L1251" s="387" t="s">
        <v>403</v>
      </c>
      <c r="M1251" s="390">
        <v>45617.752141203702</v>
      </c>
      <c r="N1251" s="367" t="s">
        <v>356</v>
      </c>
      <c r="O1251" s="368" t="s">
        <v>357</v>
      </c>
    </row>
    <row r="1252" spans="1:15" ht="30" hidden="1" outlineLevel="1">
      <c r="B1252" s="384">
        <v>2025</v>
      </c>
      <c r="C1252" s="384">
        <v>5</v>
      </c>
      <c r="D1252" s="367" t="s">
        <v>5</v>
      </c>
      <c r="E1252" s="367" t="s">
        <v>6</v>
      </c>
      <c r="F1252" s="389" t="s">
        <v>2051</v>
      </c>
      <c r="G1252" s="385">
        <v>45611</v>
      </c>
      <c r="H1252" s="367" t="s">
        <v>11</v>
      </c>
      <c r="I1252" s="368" t="str">
        <f>VLOOKUP(H1252,'[2]Source Codes'!A$2:B$115,2,FALSE)</f>
        <v>AR Payments</v>
      </c>
      <c r="J1252" s="412">
        <v>1753149.14</v>
      </c>
      <c r="K1252" s="385">
        <v>45617</v>
      </c>
      <c r="L1252" s="387" t="s">
        <v>2057</v>
      </c>
      <c r="M1252" s="390">
        <v>45617.752141203702</v>
      </c>
      <c r="N1252" s="367" t="s">
        <v>356</v>
      </c>
      <c r="O1252" s="368" t="s">
        <v>357</v>
      </c>
    </row>
    <row r="1253" spans="1:15" ht="45" hidden="1" outlineLevel="1">
      <c r="B1253" s="384">
        <v>2025</v>
      </c>
      <c r="C1253" s="384">
        <v>5</v>
      </c>
      <c r="D1253" s="367" t="s">
        <v>5</v>
      </c>
      <c r="E1253" s="367" t="s">
        <v>6</v>
      </c>
      <c r="F1253" s="389" t="s">
        <v>2052</v>
      </c>
      <c r="G1253" s="385">
        <v>45616</v>
      </c>
      <c r="H1253" s="367" t="s">
        <v>9</v>
      </c>
      <c r="I1253" s="368" t="str">
        <f>VLOOKUP(H1253,'[2]Source Codes'!A$2:B$115,2,FALSE)</f>
        <v>On Line Journal Entries</v>
      </c>
      <c r="J1253" s="412">
        <v>21277632</v>
      </c>
      <c r="K1253" s="385">
        <v>45617</v>
      </c>
      <c r="L1253" s="387" t="s">
        <v>396</v>
      </c>
      <c r="M1253" s="390">
        <v>45617.440393518518</v>
      </c>
      <c r="N1253" s="367" t="s">
        <v>356</v>
      </c>
      <c r="O1253" s="368" t="s">
        <v>364</v>
      </c>
    </row>
    <row r="1254" spans="1:15" ht="45" hidden="1" outlineLevel="1">
      <c r="B1254" s="384">
        <v>2025</v>
      </c>
      <c r="C1254" s="384">
        <v>5</v>
      </c>
      <c r="D1254" s="367" t="s">
        <v>5</v>
      </c>
      <c r="E1254" s="367" t="s">
        <v>6</v>
      </c>
      <c r="F1254" s="389" t="s">
        <v>2053</v>
      </c>
      <c r="G1254" s="385">
        <v>45614</v>
      </c>
      <c r="H1254" s="367" t="s">
        <v>9</v>
      </c>
      <c r="I1254" s="368" t="str">
        <f>VLOOKUP(H1254,'[2]Source Codes'!A$2:B$115,2,FALSE)</f>
        <v>On Line Journal Entries</v>
      </c>
      <c r="J1254" s="412">
        <v>6027133</v>
      </c>
      <c r="K1254" s="385">
        <v>45617</v>
      </c>
      <c r="L1254" s="387" t="s">
        <v>352</v>
      </c>
      <c r="M1254" s="390">
        <v>45617.40898148148</v>
      </c>
      <c r="N1254" s="367" t="s">
        <v>356</v>
      </c>
      <c r="O1254" s="368" t="s">
        <v>364</v>
      </c>
    </row>
    <row r="1255" spans="1:15" ht="45" hidden="1" outlineLevel="1">
      <c r="B1255" s="384">
        <v>2025</v>
      </c>
      <c r="C1255" s="384">
        <v>5</v>
      </c>
      <c r="D1255" s="367" t="s">
        <v>5</v>
      </c>
      <c r="E1255" s="367" t="s">
        <v>6</v>
      </c>
      <c r="F1255" s="389" t="s">
        <v>2054</v>
      </c>
      <c r="G1255" s="385">
        <v>45614</v>
      </c>
      <c r="H1255" s="367" t="s">
        <v>9</v>
      </c>
      <c r="I1255" s="368" t="str">
        <f>VLOOKUP(H1255,'[2]Source Codes'!A$2:B$115,2,FALSE)</f>
        <v>On Line Journal Entries</v>
      </c>
      <c r="J1255" s="412">
        <v>5948369</v>
      </c>
      <c r="K1255" s="385">
        <v>45617</v>
      </c>
      <c r="L1255" s="387" t="s">
        <v>352</v>
      </c>
      <c r="M1255" s="390">
        <v>45617.410868055558</v>
      </c>
      <c r="N1255" s="367" t="s">
        <v>356</v>
      </c>
      <c r="O1255" s="368" t="s">
        <v>364</v>
      </c>
    </row>
    <row r="1256" spans="1:15" ht="45" hidden="1" outlineLevel="1">
      <c r="B1256" s="384">
        <v>2025</v>
      </c>
      <c r="C1256" s="384">
        <v>5</v>
      </c>
      <c r="D1256" s="367" t="s">
        <v>5</v>
      </c>
      <c r="E1256" s="367" t="s">
        <v>6</v>
      </c>
      <c r="F1256" s="389" t="s">
        <v>2055</v>
      </c>
      <c r="G1256" s="385">
        <v>45614</v>
      </c>
      <c r="H1256" s="367" t="s">
        <v>9</v>
      </c>
      <c r="I1256" s="368" t="str">
        <f>VLOOKUP(H1256,'[2]Source Codes'!A$2:B$115,2,FALSE)</f>
        <v>On Line Journal Entries</v>
      </c>
      <c r="J1256" s="412">
        <v>5860030</v>
      </c>
      <c r="K1256" s="385">
        <v>45617</v>
      </c>
      <c r="L1256" s="387" t="s">
        <v>352</v>
      </c>
      <c r="M1256" s="390">
        <v>45617.411712962959</v>
      </c>
      <c r="N1256" s="367" t="s">
        <v>356</v>
      </c>
      <c r="O1256" s="368" t="s">
        <v>364</v>
      </c>
    </row>
    <row r="1257" spans="1:15" ht="12.75" customHeight="1" collapsed="1">
      <c r="J1257" s="413">
        <f>SUM(J1250:J1256)</f>
        <v>39710916.170000002</v>
      </c>
    </row>
    <row r="1259" spans="1:15" ht="12.75" customHeight="1">
      <c r="A1259" s="378" t="s">
        <v>2058</v>
      </c>
    </row>
    <row r="1260" spans="1:15" ht="60" hidden="1" outlineLevel="1">
      <c r="B1260" s="384">
        <v>2025</v>
      </c>
      <c r="C1260" s="384">
        <v>5</v>
      </c>
      <c r="D1260" s="367" t="s">
        <v>5</v>
      </c>
      <c r="E1260" s="367" t="s">
        <v>6</v>
      </c>
      <c r="F1260" s="389" t="s">
        <v>2059</v>
      </c>
      <c r="G1260" s="385">
        <v>45618</v>
      </c>
      <c r="H1260" s="367" t="s">
        <v>14</v>
      </c>
      <c r="I1260" s="368" t="str">
        <f>VLOOKUP(H1260,'[2]Source Codes'!A$2:B$115,2,FALSE)</f>
        <v>AP Warrant Issuance</v>
      </c>
      <c r="J1260" s="412">
        <v>-1977291.29</v>
      </c>
      <c r="K1260" s="385">
        <v>45618</v>
      </c>
      <c r="L1260" s="387" t="s">
        <v>2069</v>
      </c>
      <c r="M1260" s="390">
        <v>45618.793611111112</v>
      </c>
      <c r="N1260" s="367" t="s">
        <v>356</v>
      </c>
      <c r="O1260" s="368" t="s">
        <v>357</v>
      </c>
    </row>
    <row r="1261" spans="1:15" ht="30" hidden="1" outlineLevel="1">
      <c r="B1261" s="384">
        <v>2025</v>
      </c>
      <c r="C1261" s="384">
        <v>5</v>
      </c>
      <c r="D1261" s="367" t="s">
        <v>5</v>
      </c>
      <c r="E1261" s="367" t="s">
        <v>6</v>
      </c>
      <c r="F1261" s="389" t="s">
        <v>2060</v>
      </c>
      <c r="G1261" s="385">
        <v>45615</v>
      </c>
      <c r="H1261" s="367" t="s">
        <v>12</v>
      </c>
      <c r="I1261" s="368" t="str">
        <f>VLOOKUP(H1261,'[2]Source Codes'!A$2:B$115,2,FALSE)</f>
        <v>AR Direct Cash Journal</v>
      </c>
      <c r="J1261" s="412">
        <v>1026804</v>
      </c>
      <c r="K1261" s="385">
        <v>45618</v>
      </c>
      <c r="L1261" s="387" t="s">
        <v>2070</v>
      </c>
      <c r="M1261" s="390">
        <v>45618.751909722225</v>
      </c>
      <c r="N1261" s="367" t="s">
        <v>356</v>
      </c>
      <c r="O1261" s="368" t="s">
        <v>368</v>
      </c>
    </row>
    <row r="1262" spans="1:15" ht="30" hidden="1" outlineLevel="1">
      <c r="B1262" s="384">
        <v>2025</v>
      </c>
      <c r="C1262" s="384">
        <v>5</v>
      </c>
      <c r="D1262" s="367" t="s">
        <v>5</v>
      </c>
      <c r="E1262" s="367" t="s">
        <v>6</v>
      </c>
      <c r="F1262" s="389" t="s">
        <v>2061</v>
      </c>
      <c r="G1262" s="385">
        <v>45618</v>
      </c>
      <c r="H1262" s="367" t="s">
        <v>12</v>
      </c>
      <c r="I1262" s="368" t="str">
        <f>VLOOKUP(H1262,'[2]Source Codes'!A$2:B$115,2,FALSE)</f>
        <v>AR Direct Cash Journal</v>
      </c>
      <c r="J1262" s="412">
        <v>4719183.4400000004</v>
      </c>
      <c r="K1262" s="385">
        <v>45618</v>
      </c>
      <c r="L1262" s="387" t="s">
        <v>2071</v>
      </c>
      <c r="M1262" s="390">
        <v>45618.751909722225</v>
      </c>
      <c r="N1262" s="367" t="s">
        <v>361</v>
      </c>
      <c r="O1262" s="368" t="s">
        <v>371</v>
      </c>
    </row>
    <row r="1263" spans="1:15" ht="30" hidden="1" outlineLevel="1">
      <c r="B1263" s="384">
        <v>2025</v>
      </c>
      <c r="C1263" s="384">
        <v>5</v>
      </c>
      <c r="D1263" s="367" t="s">
        <v>5</v>
      </c>
      <c r="E1263" s="367" t="s">
        <v>6</v>
      </c>
      <c r="F1263" s="389" t="s">
        <v>2062</v>
      </c>
      <c r="G1263" s="385">
        <v>45617</v>
      </c>
      <c r="H1263" s="367" t="s">
        <v>9</v>
      </c>
      <c r="I1263" s="368" t="str">
        <f>VLOOKUP(H1263,'[2]Source Codes'!A$2:B$115,2,FALSE)</f>
        <v>On Line Journal Entries</v>
      </c>
      <c r="J1263" s="412">
        <v>15330287.24</v>
      </c>
      <c r="K1263" s="385">
        <v>45618</v>
      </c>
      <c r="L1263" s="387" t="s">
        <v>344</v>
      </c>
      <c r="M1263" s="390">
        <v>45618.86996527778</v>
      </c>
      <c r="N1263" s="367" t="s">
        <v>356</v>
      </c>
      <c r="O1263" s="368" t="s">
        <v>364</v>
      </c>
    </row>
    <row r="1264" spans="1:15" ht="30" hidden="1" outlineLevel="1">
      <c r="B1264" s="384">
        <v>2025</v>
      </c>
      <c r="C1264" s="384">
        <v>5</v>
      </c>
      <c r="D1264" s="367" t="s">
        <v>5</v>
      </c>
      <c r="E1264" s="367" t="s">
        <v>6</v>
      </c>
      <c r="F1264" s="389" t="s">
        <v>2063</v>
      </c>
      <c r="G1264" s="385">
        <v>45614</v>
      </c>
      <c r="H1264" s="367" t="s">
        <v>9</v>
      </c>
      <c r="I1264" s="368" t="str">
        <f>VLOOKUP(H1264,'[2]Source Codes'!A$2:B$115,2,FALSE)</f>
        <v>On Line Journal Entries</v>
      </c>
      <c r="J1264" s="412">
        <v>10896728.810000001</v>
      </c>
      <c r="K1264" s="385">
        <v>45618</v>
      </c>
      <c r="L1264" s="387" t="s">
        <v>344</v>
      </c>
      <c r="M1264" s="390">
        <v>45618.86996527778</v>
      </c>
      <c r="N1264" s="367" t="s">
        <v>356</v>
      </c>
      <c r="O1264" s="368" t="s">
        <v>364</v>
      </c>
    </row>
    <row r="1265" spans="1:15" ht="30" hidden="1" outlineLevel="1">
      <c r="B1265" s="384">
        <v>2025</v>
      </c>
      <c r="C1265" s="384">
        <v>5</v>
      </c>
      <c r="D1265" s="367" t="s">
        <v>5</v>
      </c>
      <c r="E1265" s="367" t="s">
        <v>6</v>
      </c>
      <c r="F1265" s="389" t="s">
        <v>2064</v>
      </c>
      <c r="G1265" s="385">
        <v>45614</v>
      </c>
      <c r="H1265" s="367" t="s">
        <v>9</v>
      </c>
      <c r="I1265" s="368" t="str">
        <f>VLOOKUP(H1265,'[2]Source Codes'!A$2:B$115,2,FALSE)</f>
        <v>On Line Journal Entries</v>
      </c>
      <c r="J1265" s="412">
        <v>8971970</v>
      </c>
      <c r="K1265" s="385">
        <v>45618</v>
      </c>
      <c r="L1265" s="387" t="s">
        <v>344</v>
      </c>
      <c r="M1265" s="390">
        <v>45618.86996527778</v>
      </c>
      <c r="N1265" s="367" t="s">
        <v>356</v>
      </c>
      <c r="O1265" s="368" t="s">
        <v>364</v>
      </c>
    </row>
    <row r="1266" spans="1:15" ht="30" hidden="1" outlineLevel="1">
      <c r="B1266" s="384">
        <v>2025</v>
      </c>
      <c r="C1266" s="384">
        <v>5</v>
      </c>
      <c r="D1266" s="367" t="s">
        <v>5</v>
      </c>
      <c r="E1266" s="367" t="s">
        <v>6</v>
      </c>
      <c r="F1266" s="389" t="s">
        <v>2065</v>
      </c>
      <c r="G1266" s="385">
        <v>45615</v>
      </c>
      <c r="H1266" s="367" t="s">
        <v>9</v>
      </c>
      <c r="I1266" s="368" t="str">
        <f>VLOOKUP(H1266,'[2]Source Codes'!A$2:B$115,2,FALSE)</f>
        <v>On Line Journal Entries</v>
      </c>
      <c r="J1266" s="412">
        <v>7889000</v>
      </c>
      <c r="K1266" s="385">
        <v>45618</v>
      </c>
      <c r="L1266" s="387" t="s">
        <v>344</v>
      </c>
      <c r="M1266" s="390">
        <v>45618.86996527778</v>
      </c>
      <c r="N1266" s="367" t="s">
        <v>356</v>
      </c>
      <c r="O1266" s="368" t="s">
        <v>364</v>
      </c>
    </row>
    <row r="1267" spans="1:15" ht="15" hidden="1" outlineLevel="1">
      <c r="B1267" s="384">
        <v>2025</v>
      </c>
      <c r="C1267" s="384">
        <v>5</v>
      </c>
      <c r="D1267" s="367" t="s">
        <v>5</v>
      </c>
      <c r="E1267" s="367" t="s">
        <v>6</v>
      </c>
      <c r="F1267" s="389" t="s">
        <v>2066</v>
      </c>
      <c r="G1267" s="385">
        <v>45610</v>
      </c>
      <c r="H1267" s="367" t="s">
        <v>9</v>
      </c>
      <c r="I1267" s="368" t="str">
        <f>VLOOKUP(H1267,'[2]Source Codes'!A$2:B$115,2,FALSE)</f>
        <v>On Line Journal Entries</v>
      </c>
      <c r="J1267" s="412">
        <v>7338452.1299999999</v>
      </c>
      <c r="K1267" s="385">
        <v>45618</v>
      </c>
      <c r="L1267" s="387" t="s">
        <v>2068</v>
      </c>
      <c r="M1267" s="390">
        <v>45618.467118055552</v>
      </c>
      <c r="N1267" s="367" t="s">
        <v>361</v>
      </c>
      <c r="O1267" s="368" t="s">
        <v>368</v>
      </c>
    </row>
    <row r="1268" spans="1:15" ht="30" hidden="1" outlineLevel="1">
      <c r="B1268" s="384">
        <v>2025</v>
      </c>
      <c r="C1268" s="384">
        <v>5</v>
      </c>
      <c r="D1268" s="367" t="s">
        <v>5</v>
      </c>
      <c r="E1268" s="367" t="s">
        <v>6</v>
      </c>
      <c r="F1268" s="389" t="s">
        <v>2067</v>
      </c>
      <c r="G1268" s="385">
        <v>45614</v>
      </c>
      <c r="H1268" s="367" t="s">
        <v>9</v>
      </c>
      <c r="I1268" s="368" t="str">
        <f>VLOOKUP(H1268,'[2]Source Codes'!A$2:B$115,2,FALSE)</f>
        <v>On Line Journal Entries</v>
      </c>
      <c r="J1268" s="412">
        <v>1883956</v>
      </c>
      <c r="K1268" s="385">
        <v>45618</v>
      </c>
      <c r="L1268" s="387" t="s">
        <v>344</v>
      </c>
      <c r="M1268" s="390">
        <v>45618.86996527778</v>
      </c>
      <c r="N1268" s="367" t="s">
        <v>356</v>
      </c>
      <c r="O1268" s="368" t="s">
        <v>364</v>
      </c>
    </row>
    <row r="1269" spans="1:15" ht="12.75" customHeight="1" collapsed="1">
      <c r="J1269" s="413">
        <f>SUM(J1260:J1268)</f>
        <v>56079090.330000006</v>
      </c>
    </row>
    <row r="1271" spans="1:15" ht="12.75" customHeight="1">
      <c r="A1271" s="378" t="s">
        <v>2072</v>
      </c>
    </row>
    <row r="1272" spans="1:15" ht="45" hidden="1" outlineLevel="1">
      <c r="B1272" s="384">
        <v>2025</v>
      </c>
      <c r="C1272" s="384">
        <v>5</v>
      </c>
      <c r="D1272" s="367" t="s">
        <v>5</v>
      </c>
      <c r="E1272" s="367" t="s">
        <v>6</v>
      </c>
      <c r="F1272" s="389" t="s">
        <v>2073</v>
      </c>
      <c r="G1272" s="385">
        <v>45621</v>
      </c>
      <c r="H1272" s="367" t="s">
        <v>14</v>
      </c>
      <c r="I1272" s="368" t="str">
        <f>VLOOKUP(H1272,'[2]Source Codes'!A$2:B$115,2,FALSE)</f>
        <v>AP Warrant Issuance</v>
      </c>
      <c r="J1272" s="412">
        <v>-1593423.25</v>
      </c>
      <c r="K1272" s="385">
        <v>45621</v>
      </c>
      <c r="L1272" s="387" t="s">
        <v>2082</v>
      </c>
      <c r="M1272" s="390">
        <v>45621.793761574074</v>
      </c>
      <c r="N1272" s="367" t="s">
        <v>356</v>
      </c>
      <c r="O1272" s="368" t="s">
        <v>368</v>
      </c>
    </row>
    <row r="1273" spans="1:15" ht="75" hidden="1" outlineLevel="1">
      <c r="B1273" s="384">
        <v>2025</v>
      </c>
      <c r="C1273" s="384">
        <v>5</v>
      </c>
      <c r="D1273" s="367" t="s">
        <v>5</v>
      </c>
      <c r="E1273" s="367" t="s">
        <v>6</v>
      </c>
      <c r="F1273" s="389" t="s">
        <v>2074</v>
      </c>
      <c r="G1273" s="385">
        <v>45617</v>
      </c>
      <c r="H1273" s="367" t="s">
        <v>9</v>
      </c>
      <c r="I1273" s="368" t="str">
        <f>VLOOKUP(H1273,'[2]Source Codes'!A$2:B$115,2,FALSE)</f>
        <v>On Line Journal Entries</v>
      </c>
      <c r="J1273" s="412">
        <v>13097817</v>
      </c>
      <c r="K1273" s="385">
        <v>45621</v>
      </c>
      <c r="L1273" s="387" t="s">
        <v>339</v>
      </c>
      <c r="M1273" s="390">
        <v>45621.870682870373</v>
      </c>
      <c r="N1273" s="367" t="s">
        <v>356</v>
      </c>
      <c r="O1273" s="368" t="s">
        <v>364</v>
      </c>
    </row>
    <row r="1274" spans="1:15" ht="75" hidden="1" outlineLevel="1">
      <c r="B1274" s="384">
        <v>2025</v>
      </c>
      <c r="C1274" s="384">
        <v>5</v>
      </c>
      <c r="D1274" s="367" t="s">
        <v>5</v>
      </c>
      <c r="E1274" s="367" t="s">
        <v>6</v>
      </c>
      <c r="F1274" s="389" t="s">
        <v>2075</v>
      </c>
      <c r="G1274" s="385">
        <v>45617</v>
      </c>
      <c r="H1274" s="367" t="s">
        <v>9</v>
      </c>
      <c r="I1274" s="368" t="str">
        <f>VLOOKUP(H1274,'[2]Source Codes'!A$2:B$115,2,FALSE)</f>
        <v>On Line Journal Entries</v>
      </c>
      <c r="J1274" s="412">
        <v>7962483</v>
      </c>
      <c r="K1274" s="385">
        <v>45621</v>
      </c>
      <c r="L1274" s="387" t="s">
        <v>339</v>
      </c>
      <c r="M1274" s="390">
        <v>45621.870682870373</v>
      </c>
      <c r="N1274" s="367" t="s">
        <v>356</v>
      </c>
      <c r="O1274" s="368" t="s">
        <v>364</v>
      </c>
    </row>
    <row r="1275" spans="1:15" ht="45" hidden="1" outlineLevel="1">
      <c r="B1275" s="384">
        <v>2025</v>
      </c>
      <c r="C1275" s="384">
        <v>5</v>
      </c>
      <c r="D1275" s="367" t="s">
        <v>5</v>
      </c>
      <c r="E1275" s="367" t="s">
        <v>6</v>
      </c>
      <c r="F1275" s="389" t="s">
        <v>2076</v>
      </c>
      <c r="G1275" s="385">
        <v>45621</v>
      </c>
      <c r="H1275" s="367" t="s">
        <v>9</v>
      </c>
      <c r="I1275" s="368" t="str">
        <f>VLOOKUP(H1275,'[2]Source Codes'!A$2:B$115,2,FALSE)</f>
        <v>On Line Journal Entries</v>
      </c>
      <c r="J1275" s="412">
        <v>5887058</v>
      </c>
      <c r="K1275" s="385">
        <v>45621</v>
      </c>
      <c r="L1275" s="387" t="s">
        <v>352</v>
      </c>
      <c r="M1275" s="390">
        <v>45621.870682870373</v>
      </c>
      <c r="N1275" s="367" t="s">
        <v>356</v>
      </c>
      <c r="O1275" s="368" t="s">
        <v>364</v>
      </c>
    </row>
    <row r="1276" spans="1:15" ht="30" hidden="1" outlineLevel="1">
      <c r="B1276" s="384">
        <v>2025</v>
      </c>
      <c r="C1276" s="384">
        <v>5</v>
      </c>
      <c r="D1276" s="367" t="s">
        <v>5</v>
      </c>
      <c r="E1276" s="367" t="s">
        <v>6</v>
      </c>
      <c r="F1276" s="389" t="s">
        <v>2077</v>
      </c>
      <c r="G1276" s="385">
        <v>45618</v>
      </c>
      <c r="H1276" s="367" t="s">
        <v>9</v>
      </c>
      <c r="I1276" s="368" t="str">
        <f>VLOOKUP(H1276,'[2]Source Codes'!A$2:B$115,2,FALSE)</f>
        <v>On Line Journal Entries</v>
      </c>
      <c r="J1276" s="412">
        <v>5455907</v>
      </c>
      <c r="K1276" s="385">
        <v>45621</v>
      </c>
      <c r="L1276" s="387" t="s">
        <v>334</v>
      </c>
      <c r="M1276" s="390">
        <v>45621.870682870373</v>
      </c>
      <c r="N1276" s="367" t="s">
        <v>356</v>
      </c>
      <c r="O1276" s="368" t="s">
        <v>364</v>
      </c>
    </row>
    <row r="1277" spans="1:15" ht="15" hidden="1" outlineLevel="1">
      <c r="B1277" s="384">
        <v>2025</v>
      </c>
      <c r="C1277" s="384">
        <v>5</v>
      </c>
      <c r="D1277" s="367" t="s">
        <v>5</v>
      </c>
      <c r="E1277" s="367" t="s">
        <v>6</v>
      </c>
      <c r="F1277" s="389" t="s">
        <v>2078</v>
      </c>
      <c r="G1277" s="385">
        <v>45597</v>
      </c>
      <c r="H1277" s="367" t="s">
        <v>13</v>
      </c>
      <c r="I1277" s="368" t="str">
        <f>VLOOKUP(H1277,'[2]Source Codes'!A$2:B$115,2,FALSE)</f>
        <v>C-IV Voucher/Payments/EBT</v>
      </c>
      <c r="J1277" s="412">
        <v>-9377408.9399999995</v>
      </c>
      <c r="K1277" s="385">
        <v>45621</v>
      </c>
      <c r="L1277" s="387" t="s">
        <v>2080</v>
      </c>
      <c r="M1277" s="390">
        <v>45621.870694444442</v>
      </c>
      <c r="N1277" s="367" t="s">
        <v>356</v>
      </c>
      <c r="O1277" s="368" t="s">
        <v>364</v>
      </c>
    </row>
    <row r="1278" spans="1:15" ht="15" hidden="1" outlineLevel="1">
      <c r="B1278" s="384">
        <v>2025</v>
      </c>
      <c r="C1278" s="384">
        <v>5</v>
      </c>
      <c r="D1278" s="367" t="s">
        <v>5</v>
      </c>
      <c r="E1278" s="367" t="s">
        <v>6</v>
      </c>
      <c r="F1278" s="389" t="s">
        <v>2079</v>
      </c>
      <c r="G1278" s="385">
        <v>45597</v>
      </c>
      <c r="H1278" s="367" t="s">
        <v>13</v>
      </c>
      <c r="I1278" s="368" t="str">
        <f>VLOOKUP(H1278,'[2]Source Codes'!A$2:B$115,2,FALSE)</f>
        <v>C-IV Voucher/Payments/EBT</v>
      </c>
      <c r="J1278" s="412">
        <v>-11732479.25</v>
      </c>
      <c r="K1278" s="385">
        <v>45621</v>
      </c>
      <c r="L1278" s="387" t="s">
        <v>2081</v>
      </c>
      <c r="M1278" s="390">
        <v>45621.870694444442</v>
      </c>
      <c r="N1278" s="367" t="s">
        <v>356</v>
      </c>
      <c r="O1278" s="368" t="s">
        <v>364</v>
      </c>
    </row>
    <row r="1279" spans="1:15" ht="12.75" customHeight="1" collapsed="1">
      <c r="J1279" s="413">
        <f>SUM(J1272:J1278)</f>
        <v>9699953.5600000024</v>
      </c>
    </row>
    <row r="1281" spans="1:15" ht="12.75" customHeight="1">
      <c r="A1281" s="378" t="s">
        <v>2083</v>
      </c>
    </row>
    <row r="1282" spans="1:15" ht="15" hidden="1" outlineLevel="1">
      <c r="B1282" s="384">
        <v>2025</v>
      </c>
      <c r="C1282" s="384">
        <v>5</v>
      </c>
      <c r="D1282" s="367" t="s">
        <v>5</v>
      </c>
      <c r="E1282" s="367" t="s">
        <v>6</v>
      </c>
      <c r="F1282" s="389" t="s">
        <v>2084</v>
      </c>
      <c r="G1282" s="385">
        <v>45622</v>
      </c>
      <c r="H1282" s="367" t="s">
        <v>12</v>
      </c>
      <c r="I1282" s="368" t="str">
        <f>VLOOKUP(H1282,'[2]Source Codes'!A$2:B$115,2,FALSE)</f>
        <v>AR Direct Cash Journal</v>
      </c>
      <c r="J1282" s="412">
        <v>55000000</v>
      </c>
      <c r="K1282" s="385">
        <v>45622</v>
      </c>
      <c r="L1282" s="387" t="s">
        <v>2094</v>
      </c>
      <c r="M1282" s="390">
        <v>45622.752106481479</v>
      </c>
      <c r="N1282" s="367" t="s">
        <v>377</v>
      </c>
      <c r="O1282" s="368" t="s">
        <v>358</v>
      </c>
    </row>
    <row r="1283" spans="1:15" ht="30" hidden="1" outlineLevel="1">
      <c r="B1283" s="384">
        <v>2025</v>
      </c>
      <c r="C1283" s="384">
        <v>5</v>
      </c>
      <c r="D1283" s="367" t="s">
        <v>5</v>
      </c>
      <c r="E1283" s="367" t="s">
        <v>6</v>
      </c>
      <c r="F1283" s="389" t="s">
        <v>2085</v>
      </c>
      <c r="G1283" s="385">
        <v>45618</v>
      </c>
      <c r="H1283" s="367" t="s">
        <v>11</v>
      </c>
      <c r="I1283" s="368" t="str">
        <f>VLOOKUP(H1283,'[2]Source Codes'!A$2:B$115,2,FALSE)</f>
        <v>AR Payments</v>
      </c>
      <c r="J1283" s="412">
        <v>1695308.49</v>
      </c>
      <c r="K1283" s="385">
        <v>45622</v>
      </c>
      <c r="L1283" s="387" t="s">
        <v>405</v>
      </c>
      <c r="M1283" s="390">
        <v>45622.752106481479</v>
      </c>
      <c r="N1283" s="367" t="s">
        <v>356</v>
      </c>
      <c r="O1283" s="368" t="s">
        <v>357</v>
      </c>
    </row>
    <row r="1284" spans="1:15" ht="15" hidden="1" outlineLevel="1">
      <c r="B1284" s="384">
        <v>2025</v>
      </c>
      <c r="C1284" s="384">
        <v>5</v>
      </c>
      <c r="D1284" s="367" t="s">
        <v>5</v>
      </c>
      <c r="E1284" s="367" t="s">
        <v>6</v>
      </c>
      <c r="F1284" s="389" t="s">
        <v>2086</v>
      </c>
      <c r="G1284" s="385">
        <v>45597</v>
      </c>
      <c r="H1284" s="367" t="s">
        <v>13</v>
      </c>
      <c r="I1284" s="368" t="str">
        <f>VLOOKUP(H1284,'[2]Source Codes'!A$2:B$115,2,FALSE)</f>
        <v>C-IV Voucher/Payments/EBT</v>
      </c>
      <c r="J1284" s="412">
        <v>-17151726.969999999</v>
      </c>
      <c r="K1284" s="385">
        <v>45622</v>
      </c>
      <c r="L1284" s="387" t="s">
        <v>2091</v>
      </c>
      <c r="M1284" s="390">
        <v>45622.870497685188</v>
      </c>
      <c r="N1284" s="367" t="s">
        <v>356</v>
      </c>
      <c r="O1284" s="368" t="s">
        <v>364</v>
      </c>
    </row>
    <row r="1285" spans="1:15" ht="30" hidden="1" outlineLevel="1">
      <c r="B1285" s="384">
        <v>2025</v>
      </c>
      <c r="C1285" s="384">
        <v>5</v>
      </c>
      <c r="D1285" s="367" t="s">
        <v>5</v>
      </c>
      <c r="E1285" s="367" t="s">
        <v>6</v>
      </c>
      <c r="F1285" s="389" t="s">
        <v>2087</v>
      </c>
      <c r="G1285" s="385">
        <v>45597</v>
      </c>
      <c r="H1285" s="367" t="s">
        <v>9</v>
      </c>
      <c r="I1285" s="368" t="str">
        <f>VLOOKUP(H1285,'[2]Source Codes'!A$2:B$115,2,FALSE)</f>
        <v>On Line Journal Entries</v>
      </c>
      <c r="J1285" s="412">
        <v>-5075223.83</v>
      </c>
      <c r="K1285" s="385">
        <v>45622</v>
      </c>
      <c r="L1285" s="387" t="s">
        <v>2095</v>
      </c>
      <c r="M1285" s="390">
        <v>45622.870486111111</v>
      </c>
      <c r="N1285" s="367" t="s">
        <v>356</v>
      </c>
      <c r="O1285" s="368" t="s">
        <v>374</v>
      </c>
    </row>
    <row r="1286" spans="1:15" ht="15" hidden="1" outlineLevel="1">
      <c r="B1286" s="384">
        <v>2025</v>
      </c>
      <c r="C1286" s="384">
        <v>5</v>
      </c>
      <c r="D1286" s="367" t="s">
        <v>5</v>
      </c>
      <c r="E1286" s="367" t="s">
        <v>6</v>
      </c>
      <c r="F1286" s="389" t="s">
        <v>2088</v>
      </c>
      <c r="G1286" s="385">
        <v>45614</v>
      </c>
      <c r="H1286" s="367" t="s">
        <v>337</v>
      </c>
      <c r="I1286" s="368" t="str">
        <f>VLOOKUP(H1286,'[2]Source Codes'!A$2:B$115,2,FALSE)</f>
        <v>Facilities Mngmnt Intfc Jrnls</v>
      </c>
      <c r="J1286" s="412">
        <v>-4282423.9000000004</v>
      </c>
      <c r="K1286" s="385">
        <v>45622</v>
      </c>
      <c r="L1286" s="387" t="s">
        <v>2092</v>
      </c>
      <c r="M1286" s="390">
        <v>45622.568796296298</v>
      </c>
      <c r="N1286" s="367" t="s">
        <v>356</v>
      </c>
      <c r="O1286" s="368" t="s">
        <v>367</v>
      </c>
    </row>
    <row r="1287" spans="1:15" ht="15" hidden="1" outlineLevel="1">
      <c r="B1287" s="384">
        <v>2025</v>
      </c>
      <c r="C1287" s="384">
        <v>5</v>
      </c>
      <c r="D1287" s="367" t="s">
        <v>5</v>
      </c>
      <c r="E1287" s="367" t="s">
        <v>6</v>
      </c>
      <c r="F1287" s="389" t="s">
        <v>2089</v>
      </c>
      <c r="G1287" s="385">
        <v>45610</v>
      </c>
      <c r="H1287" s="367" t="s">
        <v>8</v>
      </c>
      <c r="I1287" s="368" t="str">
        <f>VLOOKUP(H1287,'[2]Source Codes'!A$2:B$115,2,FALSE)</f>
        <v>Prch,Cntrl Mail,Flt,Prntg,Sply</v>
      </c>
      <c r="J1287" s="412">
        <v>-2629232.94</v>
      </c>
      <c r="K1287" s="385">
        <v>45622</v>
      </c>
      <c r="L1287" s="387" t="s">
        <v>2093</v>
      </c>
      <c r="M1287" s="390">
        <v>45622.575312499997</v>
      </c>
      <c r="N1287" s="367" t="s">
        <v>356</v>
      </c>
      <c r="O1287" s="368" t="s">
        <v>382</v>
      </c>
    </row>
    <row r="1288" spans="1:15" ht="75" hidden="1" outlineLevel="1">
      <c r="B1288" s="384">
        <v>2025</v>
      </c>
      <c r="C1288" s="384">
        <v>5</v>
      </c>
      <c r="D1288" s="367" t="s">
        <v>5</v>
      </c>
      <c r="E1288" s="367" t="s">
        <v>6</v>
      </c>
      <c r="F1288" s="389" t="s">
        <v>2090</v>
      </c>
      <c r="G1288" s="385">
        <v>45617</v>
      </c>
      <c r="H1288" s="367" t="s">
        <v>9</v>
      </c>
      <c r="I1288" s="368" t="str">
        <f>VLOOKUP(H1288,'[2]Source Codes'!A$2:B$115,2,FALSE)</f>
        <v>On Line Journal Entries</v>
      </c>
      <c r="J1288" s="412">
        <v>19497896</v>
      </c>
      <c r="K1288" s="385">
        <v>45622</v>
      </c>
      <c r="L1288" s="387" t="s">
        <v>339</v>
      </c>
      <c r="M1288" s="390">
        <v>45622.386574074073</v>
      </c>
      <c r="N1288" s="367" t="s">
        <v>356</v>
      </c>
      <c r="O1288" s="368" t="s">
        <v>364</v>
      </c>
    </row>
    <row r="1289" spans="1:15" ht="12.75" customHeight="1" collapsed="1">
      <c r="J1289" s="413">
        <f>SUM(J1282:J1288)</f>
        <v>47054596.850000009</v>
      </c>
    </row>
    <row r="1291" spans="1:15" ht="12.75" customHeight="1">
      <c r="A1291" s="378" t="s">
        <v>2096</v>
      </c>
    </row>
    <row r="1292" spans="1:15" ht="30" hidden="1" outlineLevel="1">
      <c r="B1292" s="384">
        <v>2025</v>
      </c>
      <c r="C1292" s="384">
        <v>5</v>
      </c>
      <c r="D1292" s="367" t="s">
        <v>5</v>
      </c>
      <c r="E1292" s="367" t="s">
        <v>6</v>
      </c>
      <c r="F1292" s="389" t="s">
        <v>2097</v>
      </c>
      <c r="G1292" s="385">
        <v>45623</v>
      </c>
      <c r="H1292" s="367" t="s">
        <v>12</v>
      </c>
      <c r="I1292" s="368" t="str">
        <f>VLOOKUP(H1292,'[2]Source Codes'!A$2:B$115,2,FALSE)</f>
        <v>AR Direct Cash Journal</v>
      </c>
      <c r="J1292" s="412">
        <v>11327582.52</v>
      </c>
      <c r="K1292" s="385">
        <v>45623</v>
      </c>
      <c r="L1292" s="387" t="s">
        <v>2102</v>
      </c>
      <c r="M1292" s="390">
        <v>45623.752106481479</v>
      </c>
      <c r="N1292" s="367" t="s">
        <v>356</v>
      </c>
      <c r="O1292" s="368" t="s">
        <v>368</v>
      </c>
    </row>
    <row r="1293" spans="1:15" ht="30" hidden="1" outlineLevel="1">
      <c r="B1293" s="384">
        <v>2025</v>
      </c>
      <c r="C1293" s="384">
        <v>5</v>
      </c>
      <c r="D1293" s="367" t="s">
        <v>5</v>
      </c>
      <c r="E1293" s="367" t="s">
        <v>6</v>
      </c>
      <c r="F1293" s="389" t="s">
        <v>2098</v>
      </c>
      <c r="G1293" s="385">
        <v>45621</v>
      </c>
      <c r="H1293" s="367" t="s">
        <v>12</v>
      </c>
      <c r="I1293" s="368" t="str">
        <f>VLOOKUP(H1293,'[2]Source Codes'!A$2:B$115,2,FALSE)</f>
        <v>AR Direct Cash Journal</v>
      </c>
      <c r="J1293" s="412">
        <v>22613252.91</v>
      </c>
      <c r="K1293" s="385">
        <v>45623</v>
      </c>
      <c r="L1293" s="387" t="s">
        <v>2103</v>
      </c>
      <c r="M1293" s="390">
        <v>45623.752106481479</v>
      </c>
      <c r="N1293" s="367" t="s">
        <v>356</v>
      </c>
      <c r="O1293" s="368" t="s">
        <v>368</v>
      </c>
    </row>
    <row r="1294" spans="1:15" ht="30" hidden="1" outlineLevel="1">
      <c r="B1294" s="384">
        <v>2025</v>
      </c>
      <c r="C1294" s="384">
        <v>5</v>
      </c>
      <c r="D1294" s="367" t="s">
        <v>5</v>
      </c>
      <c r="E1294" s="367" t="s">
        <v>6</v>
      </c>
      <c r="F1294" s="389" t="s">
        <v>2099</v>
      </c>
      <c r="G1294" s="385">
        <v>45622</v>
      </c>
      <c r="H1294" s="367" t="s">
        <v>11</v>
      </c>
      <c r="I1294" s="368" t="str">
        <f>VLOOKUP(H1294,'[2]Source Codes'!A$2:B$115,2,FALSE)</f>
        <v>AR Payments</v>
      </c>
      <c r="J1294" s="412">
        <v>1041870.88</v>
      </c>
      <c r="K1294" s="385">
        <v>45623</v>
      </c>
      <c r="L1294" s="387" t="s">
        <v>2104</v>
      </c>
      <c r="M1294" s="390">
        <v>45623.752106481479</v>
      </c>
      <c r="N1294" s="367" t="s">
        <v>356</v>
      </c>
      <c r="O1294" s="368" t="s">
        <v>357</v>
      </c>
    </row>
    <row r="1295" spans="1:15" ht="45" hidden="1" outlineLevel="1">
      <c r="B1295" s="384">
        <v>2025</v>
      </c>
      <c r="C1295" s="384">
        <v>5</v>
      </c>
      <c r="D1295" s="367" t="s">
        <v>5</v>
      </c>
      <c r="E1295" s="367" t="s">
        <v>6</v>
      </c>
      <c r="F1295" s="389" t="s">
        <v>2100</v>
      </c>
      <c r="G1295" s="385">
        <v>45601</v>
      </c>
      <c r="H1295" s="367" t="s">
        <v>9</v>
      </c>
      <c r="I1295" s="368" t="str">
        <f>VLOOKUP(H1295,'[2]Source Codes'!A$2:B$115,2,FALSE)</f>
        <v>On Line Journal Entries</v>
      </c>
      <c r="J1295" s="412">
        <v>-6660875</v>
      </c>
      <c r="K1295" s="385">
        <v>45623</v>
      </c>
      <c r="L1295" s="387" t="s">
        <v>2101</v>
      </c>
      <c r="M1295" s="390">
        <v>45623.497800925928</v>
      </c>
      <c r="N1295" s="367" t="s">
        <v>356</v>
      </c>
      <c r="O1295" s="368" t="s">
        <v>368</v>
      </c>
    </row>
    <row r="1296" spans="1:15" ht="12.75" customHeight="1" collapsed="1">
      <c r="J1296" s="413">
        <f>SUM(J1292:J1295)</f>
        <v>28321831.310000002</v>
      </c>
    </row>
    <row r="1298" spans="1:19" ht="12.75" customHeight="1">
      <c r="A1298" s="378" t="s">
        <v>2105</v>
      </c>
    </row>
    <row r="1299" spans="1:19" ht="60" hidden="1" outlineLevel="1">
      <c r="B1299" s="384">
        <v>2025</v>
      </c>
      <c r="C1299" s="384">
        <v>6</v>
      </c>
      <c r="D1299" s="367" t="s">
        <v>5</v>
      </c>
      <c r="E1299" s="367" t="s">
        <v>6</v>
      </c>
      <c r="F1299" s="389" t="s">
        <v>2106</v>
      </c>
      <c r="G1299" s="385">
        <v>45628</v>
      </c>
      <c r="H1299" s="367" t="s">
        <v>14</v>
      </c>
      <c r="I1299" s="368" t="str">
        <f>VLOOKUP(H1299,'[2]Source Codes'!A$2:B$115,2,FALSE)</f>
        <v>AP Warrant Issuance</v>
      </c>
      <c r="J1299" s="412">
        <v>-1004189.88</v>
      </c>
      <c r="K1299" s="385">
        <v>45628</v>
      </c>
      <c r="L1299" s="387" t="s">
        <v>2108</v>
      </c>
      <c r="M1299" s="390">
        <v>45628.794027777774</v>
      </c>
      <c r="N1299" s="367" t="s">
        <v>356</v>
      </c>
      <c r="O1299" s="368" t="s">
        <v>504</v>
      </c>
    </row>
    <row r="1300" spans="1:19" ht="45" hidden="1" outlineLevel="1">
      <c r="B1300" s="384">
        <v>2025</v>
      </c>
      <c r="C1300" s="384">
        <v>5</v>
      </c>
      <c r="D1300" s="367" t="s">
        <v>5</v>
      </c>
      <c r="E1300" s="367" t="s">
        <v>6</v>
      </c>
      <c r="F1300" s="389" t="s">
        <v>2107</v>
      </c>
      <c r="G1300" s="385">
        <v>45623</v>
      </c>
      <c r="H1300" s="367" t="s">
        <v>12</v>
      </c>
      <c r="I1300" s="368" t="str">
        <f>VLOOKUP(H1300,'[2]Source Codes'!A$2:B$115,2,FALSE)</f>
        <v>AR Direct Cash Journal</v>
      </c>
      <c r="J1300" s="412">
        <v>4447601.2699999996</v>
      </c>
      <c r="K1300" s="385">
        <v>45628</v>
      </c>
      <c r="L1300" s="387" t="s">
        <v>2109</v>
      </c>
      <c r="M1300" s="390">
        <v>45628.752083333333</v>
      </c>
      <c r="N1300" s="367" t="s">
        <v>356</v>
      </c>
      <c r="O1300" s="368" t="s">
        <v>371</v>
      </c>
    </row>
    <row r="1301" spans="1:19" ht="12.75" customHeight="1" collapsed="1">
      <c r="J1301" s="413">
        <f>SUM(J1299:J1300)</f>
        <v>3443411.3899999997</v>
      </c>
    </row>
    <row r="1303" spans="1:19" ht="12.6" customHeight="1">
      <c r="A1303" s="378" t="s">
        <v>2110</v>
      </c>
    </row>
    <row r="1304" spans="1:19" ht="30" hidden="1" outlineLevel="2">
      <c r="B1304" s="384">
        <v>2025</v>
      </c>
      <c r="C1304" s="384">
        <v>6</v>
      </c>
      <c r="D1304" s="367" t="s">
        <v>5</v>
      </c>
      <c r="E1304" s="367" t="s">
        <v>6</v>
      </c>
      <c r="F1304" s="389" t="s">
        <v>2111</v>
      </c>
      <c r="G1304" s="385">
        <v>45628</v>
      </c>
      <c r="H1304" s="367" t="s">
        <v>9</v>
      </c>
      <c r="I1304" s="368" t="str">
        <f>VLOOKUP(H1304,'Source Codes'!A$2:B$115,2,FALSE)</f>
        <v>On Line Journal Entries</v>
      </c>
      <c r="J1304" s="412">
        <v>1173078.6599999999</v>
      </c>
      <c r="K1304" s="385">
        <v>45629</v>
      </c>
      <c r="L1304" s="387" t="s">
        <v>2116</v>
      </c>
      <c r="M1304" s="390">
        <v>45629.870057870372</v>
      </c>
      <c r="N1304" s="367" t="s">
        <v>361</v>
      </c>
      <c r="O1304" s="368" t="s">
        <v>510</v>
      </c>
      <c r="P1304" s="367" t="str">
        <f>IF(J1304&gt;0,"Revenue",IF(J1304&lt;0,"Expense"))</f>
        <v>Revenue</v>
      </c>
      <c r="Q1304" s="366" t="s">
        <v>2122</v>
      </c>
      <c r="R1304" s="366" t="s">
        <v>2123</v>
      </c>
      <c r="S1304" s="366">
        <v>781100</v>
      </c>
    </row>
    <row r="1305" spans="1:19" ht="30" hidden="1" outlineLevel="2">
      <c r="B1305" s="384">
        <v>2025</v>
      </c>
      <c r="C1305" s="384">
        <v>5</v>
      </c>
      <c r="D1305" s="367" t="s">
        <v>5</v>
      </c>
      <c r="E1305" s="367" t="s">
        <v>6</v>
      </c>
      <c r="F1305" s="389" t="s">
        <v>2112</v>
      </c>
      <c r="G1305" s="385">
        <v>45623</v>
      </c>
      <c r="H1305" s="367" t="s">
        <v>2113</v>
      </c>
      <c r="I1305" s="368" t="str">
        <f>VLOOKUP(H1305,'Source Codes'!A$2:B$115,2,FALSE)</f>
        <v>Payroll TAP Service Fees</v>
      </c>
      <c r="J1305" s="412">
        <v>-1012818.28</v>
      </c>
      <c r="K1305" s="385">
        <v>45629</v>
      </c>
      <c r="L1305" s="387" t="s">
        <v>2117</v>
      </c>
      <c r="M1305" s="390">
        <v>45629.563090277778</v>
      </c>
      <c r="N1305" s="367" t="s">
        <v>1534</v>
      </c>
      <c r="O1305" s="367" t="s">
        <v>366</v>
      </c>
      <c r="P1305" s="367" t="str">
        <f>IF(J1305&gt;0,"Revenue",IF(J1305&lt;0,"Expense"))</f>
        <v>Expense</v>
      </c>
      <c r="Q1305" s="366" t="s">
        <v>379</v>
      </c>
      <c r="R1305" s="366" t="s">
        <v>2180</v>
      </c>
      <c r="S1305" s="366" t="s">
        <v>203</v>
      </c>
    </row>
    <row r="1306" spans="1:19" ht="15" hidden="1" outlineLevel="2">
      <c r="B1306" s="384">
        <v>2025</v>
      </c>
      <c r="C1306" s="384">
        <v>5</v>
      </c>
      <c r="D1306" s="367" t="s">
        <v>5</v>
      </c>
      <c r="E1306" s="367" t="s">
        <v>6</v>
      </c>
      <c r="F1306" s="389" t="s">
        <v>2114</v>
      </c>
      <c r="G1306" s="385">
        <v>45623</v>
      </c>
      <c r="H1306" s="367" t="s">
        <v>7</v>
      </c>
      <c r="I1306" s="368" t="str">
        <f>VLOOKUP(H1306,'Source Codes'!A$2:B$115,2,FALSE)</f>
        <v>HRMS Interface Journals</v>
      </c>
      <c r="J1306" s="412">
        <v>-2270500.6</v>
      </c>
      <c r="K1306" s="385">
        <v>45629</v>
      </c>
      <c r="L1306" s="387" t="s">
        <v>409</v>
      </c>
      <c r="M1306" s="390">
        <v>45629.337268518517</v>
      </c>
      <c r="N1306" s="367" t="s">
        <v>365</v>
      </c>
      <c r="O1306" s="367" t="s">
        <v>366</v>
      </c>
      <c r="P1306" s="367" t="str">
        <f>IF(J1306&gt;0,"Revenue",IF(J1306&lt;0,"Expense"))</f>
        <v>Expense</v>
      </c>
      <c r="Q1306" s="366" t="s">
        <v>379</v>
      </c>
      <c r="R1306" s="366" t="s">
        <v>2180</v>
      </c>
      <c r="S1306" s="366" t="s">
        <v>203</v>
      </c>
    </row>
    <row r="1307" spans="1:19" ht="15" hidden="1" outlineLevel="2">
      <c r="B1307" s="384">
        <v>2025</v>
      </c>
      <c r="C1307" s="384">
        <v>5</v>
      </c>
      <c r="D1307" s="367" t="s">
        <v>5</v>
      </c>
      <c r="E1307" s="367" t="s">
        <v>6</v>
      </c>
      <c r="F1307" s="389" t="s">
        <v>2115</v>
      </c>
      <c r="G1307" s="385">
        <v>45623</v>
      </c>
      <c r="H1307" s="367" t="s">
        <v>7</v>
      </c>
      <c r="I1307" s="368" t="str">
        <f>VLOOKUP(H1307,'Source Codes'!A$2:B$115,2,FALSE)</f>
        <v>HRMS Interface Journals</v>
      </c>
      <c r="J1307" s="412">
        <v>-10594637.1</v>
      </c>
      <c r="K1307" s="385">
        <v>45629</v>
      </c>
      <c r="L1307" s="387" t="s">
        <v>407</v>
      </c>
      <c r="M1307" s="390">
        <v>45629.329201388886</v>
      </c>
      <c r="N1307" s="367" t="s">
        <v>365</v>
      </c>
      <c r="O1307" s="367" t="s">
        <v>366</v>
      </c>
      <c r="P1307" s="367" t="str">
        <f>IF(J1307&gt;0,"Revenue",IF(J1307&lt;0,"Expense"))</f>
        <v>Expense</v>
      </c>
      <c r="Q1307" s="366" t="s">
        <v>379</v>
      </c>
      <c r="R1307" s="366" t="s">
        <v>2180</v>
      </c>
      <c r="S1307" s="366" t="s">
        <v>203</v>
      </c>
    </row>
    <row r="1308" spans="1:19" ht="12.75" customHeight="1" collapsed="1">
      <c r="J1308" s="413">
        <f>SUM(J1304:J1307)</f>
        <v>-12704877.32</v>
      </c>
    </row>
    <row r="1310" spans="1:19" ht="12.75" customHeight="1">
      <c r="A1310" s="378" t="s">
        <v>2136</v>
      </c>
    </row>
    <row r="1311" spans="1:19" ht="30" hidden="1" outlineLevel="1">
      <c r="B1311" s="384">
        <v>2025</v>
      </c>
      <c r="C1311" s="384">
        <v>6</v>
      </c>
      <c r="D1311" s="367" t="s">
        <v>5</v>
      </c>
      <c r="E1311" s="367" t="s">
        <v>6</v>
      </c>
      <c r="F1311" s="389" t="s">
        <v>2137</v>
      </c>
      <c r="G1311" s="385">
        <v>45632</v>
      </c>
      <c r="H1311" s="367" t="s">
        <v>14</v>
      </c>
      <c r="I1311" s="368" t="str">
        <f>VLOOKUP(H1311,'Source Codes'!A$2:B$115,2,FALSE)</f>
        <v>AP Warrant Issuance</v>
      </c>
      <c r="J1311" s="412">
        <v>-6264593.1399999997</v>
      </c>
      <c r="K1311" s="385">
        <v>45630</v>
      </c>
      <c r="L1311" s="387" t="s">
        <v>2153</v>
      </c>
      <c r="M1311" s="390">
        <v>45630.79409722222</v>
      </c>
      <c r="N1311" s="367" t="s">
        <v>356</v>
      </c>
      <c r="O1311" s="368" t="s">
        <v>368</v>
      </c>
      <c r="P1311" s="367" t="str">
        <f t="shared" ref="P1311:P1320" si="0">IF(J1311&gt;0,"Revenue",IF(J1311&lt;0,"Expense"))</f>
        <v>Expense</v>
      </c>
      <c r="Q1311" s="366" t="s">
        <v>2154</v>
      </c>
      <c r="R1311" s="366" t="s">
        <v>2154</v>
      </c>
      <c r="S1311" s="366" t="s">
        <v>203</v>
      </c>
    </row>
    <row r="1312" spans="1:19" ht="30" hidden="1" outlineLevel="1">
      <c r="B1312" s="384">
        <v>2025</v>
      </c>
      <c r="C1312" s="384">
        <v>6</v>
      </c>
      <c r="D1312" s="367" t="s">
        <v>5</v>
      </c>
      <c r="E1312" s="367" t="s">
        <v>6</v>
      </c>
      <c r="F1312" s="389" t="s">
        <v>2138</v>
      </c>
      <c r="G1312" s="385">
        <v>45630</v>
      </c>
      <c r="H1312" s="367" t="s">
        <v>14</v>
      </c>
      <c r="I1312" s="368" t="str">
        <f>VLOOKUP(H1312,'Source Codes'!A$2:B$115,2,FALSE)</f>
        <v>AP Warrant Issuance</v>
      </c>
      <c r="J1312" s="412">
        <v>-3666460.65</v>
      </c>
      <c r="K1312" s="385">
        <v>45630</v>
      </c>
      <c r="L1312" s="387" t="s">
        <v>2155</v>
      </c>
      <c r="M1312" s="390">
        <v>45630.79409722222</v>
      </c>
      <c r="N1312" s="367" t="s">
        <v>356</v>
      </c>
      <c r="O1312" s="368" t="s">
        <v>368</v>
      </c>
      <c r="P1312" s="367" t="str">
        <f t="shared" si="0"/>
        <v>Expense</v>
      </c>
      <c r="Q1312" s="366" t="s">
        <v>2154</v>
      </c>
      <c r="R1312" s="366" t="s">
        <v>2154</v>
      </c>
      <c r="S1312" s="366" t="s">
        <v>203</v>
      </c>
    </row>
    <row r="1313" spans="1:19" ht="45" hidden="1" outlineLevel="1">
      <c r="B1313" s="384">
        <v>2025</v>
      </c>
      <c r="C1313" s="384">
        <v>6</v>
      </c>
      <c r="D1313" s="367" t="s">
        <v>5</v>
      </c>
      <c r="E1313" s="367" t="s">
        <v>6</v>
      </c>
      <c r="F1313" s="389" t="s">
        <v>2139</v>
      </c>
      <c r="G1313" s="385">
        <v>45629</v>
      </c>
      <c r="H1313" s="367" t="s">
        <v>11</v>
      </c>
      <c r="I1313" s="368" t="str">
        <f>VLOOKUP(H1313,'Source Codes'!A$2:B$115,2,FALSE)</f>
        <v>AR Payments</v>
      </c>
      <c r="J1313" s="412">
        <v>1015538.09</v>
      </c>
      <c r="K1313" s="385">
        <v>45630</v>
      </c>
      <c r="L1313" s="387" t="s">
        <v>2156</v>
      </c>
      <c r="M1313" s="390">
        <v>45630.752141203702</v>
      </c>
      <c r="N1313" s="367" t="s">
        <v>356</v>
      </c>
      <c r="O1313" s="368" t="s">
        <v>357</v>
      </c>
      <c r="P1313" s="367" t="str">
        <f t="shared" si="0"/>
        <v>Revenue</v>
      </c>
      <c r="Q1313" s="366" t="s">
        <v>2157</v>
      </c>
      <c r="R1313" s="366" t="s">
        <v>2157</v>
      </c>
      <c r="S1313" s="366" t="s">
        <v>2159</v>
      </c>
    </row>
    <row r="1314" spans="1:19" ht="30" hidden="1" outlineLevel="1">
      <c r="B1314" s="384">
        <v>2025</v>
      </c>
      <c r="C1314" s="384">
        <v>5</v>
      </c>
      <c r="D1314" s="367" t="s">
        <v>5</v>
      </c>
      <c r="E1314" s="367" t="s">
        <v>6</v>
      </c>
      <c r="F1314" s="389" t="s">
        <v>2140</v>
      </c>
      <c r="G1314" s="385">
        <v>45623</v>
      </c>
      <c r="H1314" s="367" t="s">
        <v>9</v>
      </c>
      <c r="I1314" s="368" t="str">
        <f>VLOOKUP(H1314,'Source Codes'!A$2:B$115,2,FALSE)</f>
        <v>On Line Journal Entries</v>
      </c>
      <c r="J1314" s="412">
        <v>27343149.84</v>
      </c>
      <c r="K1314" s="385">
        <v>45630</v>
      </c>
      <c r="L1314" s="387" t="s">
        <v>2147</v>
      </c>
      <c r="M1314" s="390">
        <v>45630.474374999998</v>
      </c>
      <c r="N1314" s="367" t="s">
        <v>356</v>
      </c>
      <c r="O1314" s="368" t="s">
        <v>371</v>
      </c>
      <c r="P1314" s="367" t="str">
        <f t="shared" si="0"/>
        <v>Revenue</v>
      </c>
      <c r="Q1314" s="366" t="s">
        <v>2158</v>
      </c>
      <c r="R1314" s="366" t="s">
        <v>2158</v>
      </c>
      <c r="S1314" s="366">
        <v>755120</v>
      </c>
    </row>
    <row r="1315" spans="1:19" ht="45" hidden="1" outlineLevel="1">
      <c r="B1315" s="384">
        <v>2025</v>
      </c>
      <c r="C1315" s="384">
        <v>5</v>
      </c>
      <c r="D1315" s="367" t="s">
        <v>5</v>
      </c>
      <c r="E1315" s="367" t="s">
        <v>6</v>
      </c>
      <c r="F1315" s="389" t="s">
        <v>2141</v>
      </c>
      <c r="G1315" s="385">
        <v>45623</v>
      </c>
      <c r="H1315" s="367" t="s">
        <v>9</v>
      </c>
      <c r="I1315" s="368" t="str">
        <f>VLOOKUP(H1315,'Source Codes'!A$2:B$115,2,FALSE)</f>
        <v>On Line Journal Entries</v>
      </c>
      <c r="J1315" s="412">
        <v>12336383.609999999</v>
      </c>
      <c r="K1315" s="385">
        <v>45630</v>
      </c>
      <c r="L1315" s="387" t="s">
        <v>2148</v>
      </c>
      <c r="M1315" s="390">
        <v>45630.482002314813</v>
      </c>
      <c r="N1315" s="367" t="s">
        <v>356</v>
      </c>
      <c r="O1315" s="368" t="s">
        <v>371</v>
      </c>
      <c r="P1315" s="367" t="str">
        <f t="shared" si="0"/>
        <v>Revenue</v>
      </c>
      <c r="Q1315" s="366" t="s">
        <v>2161</v>
      </c>
      <c r="R1315" s="366" t="s">
        <v>2162</v>
      </c>
      <c r="S1315" s="366" t="s">
        <v>2160</v>
      </c>
    </row>
    <row r="1316" spans="1:19" ht="60" hidden="1" outlineLevel="1">
      <c r="B1316" s="384">
        <v>2025</v>
      </c>
      <c r="C1316" s="384">
        <v>5</v>
      </c>
      <c r="D1316" s="367" t="s">
        <v>5</v>
      </c>
      <c r="E1316" s="367" t="s">
        <v>6</v>
      </c>
      <c r="F1316" s="389" t="s">
        <v>2142</v>
      </c>
      <c r="G1316" s="385">
        <v>45623</v>
      </c>
      <c r="H1316" s="367" t="s">
        <v>9</v>
      </c>
      <c r="I1316" s="368" t="str">
        <f>VLOOKUP(H1316,'Source Codes'!A$2:B$115,2,FALSE)</f>
        <v>On Line Journal Entries</v>
      </c>
      <c r="J1316" s="412">
        <v>3348859.09</v>
      </c>
      <c r="K1316" s="385">
        <v>45630</v>
      </c>
      <c r="L1316" s="387" t="s">
        <v>2149</v>
      </c>
      <c r="M1316" s="390">
        <v>45630.475393518522</v>
      </c>
      <c r="N1316" s="367" t="s">
        <v>356</v>
      </c>
      <c r="O1316" s="368" t="s">
        <v>371</v>
      </c>
      <c r="P1316" s="367" t="str">
        <f t="shared" si="0"/>
        <v>Revenue</v>
      </c>
      <c r="Q1316" s="366" t="s">
        <v>2163</v>
      </c>
      <c r="R1316" s="366" t="s">
        <v>2163</v>
      </c>
      <c r="S1316" s="366">
        <v>750900</v>
      </c>
    </row>
    <row r="1317" spans="1:19" ht="15" hidden="1" outlineLevel="1">
      <c r="B1317" s="384">
        <v>2025</v>
      </c>
      <c r="C1317" s="384">
        <v>5</v>
      </c>
      <c r="D1317" s="367" t="s">
        <v>5</v>
      </c>
      <c r="E1317" s="367" t="s">
        <v>6</v>
      </c>
      <c r="F1317" s="389" t="s">
        <v>2143</v>
      </c>
      <c r="G1317" s="385">
        <v>45623</v>
      </c>
      <c r="H1317" s="367" t="s">
        <v>9</v>
      </c>
      <c r="I1317" s="368" t="str">
        <f>VLOOKUP(H1317,'Source Codes'!A$2:B$115,2,FALSE)</f>
        <v>On Line Journal Entries</v>
      </c>
      <c r="J1317" s="412">
        <v>1926822.53</v>
      </c>
      <c r="K1317" s="385">
        <v>45630</v>
      </c>
      <c r="L1317" s="387" t="s">
        <v>2150</v>
      </c>
      <c r="M1317" s="390">
        <v>45630.486921296295</v>
      </c>
      <c r="N1317" s="367" t="s">
        <v>356</v>
      </c>
      <c r="O1317" s="368" t="s">
        <v>371</v>
      </c>
      <c r="P1317" s="367" t="str">
        <f t="shared" si="0"/>
        <v>Revenue</v>
      </c>
      <c r="Q1317" s="366" t="s">
        <v>2164</v>
      </c>
      <c r="R1317" s="366" t="s">
        <v>2164</v>
      </c>
      <c r="S1317" s="366">
        <v>755909</v>
      </c>
    </row>
    <row r="1318" spans="1:19" ht="45" hidden="1" outlineLevel="1">
      <c r="B1318" s="384">
        <v>2025</v>
      </c>
      <c r="C1318" s="384">
        <v>5</v>
      </c>
      <c r="D1318" s="367" t="s">
        <v>5</v>
      </c>
      <c r="E1318" s="367" t="s">
        <v>6</v>
      </c>
      <c r="F1318" s="389" t="s">
        <v>2144</v>
      </c>
      <c r="G1318" s="385">
        <v>45623</v>
      </c>
      <c r="H1318" s="367" t="s">
        <v>9</v>
      </c>
      <c r="I1318" s="368" t="str">
        <f>VLOOKUP(H1318,'Source Codes'!A$2:B$115,2,FALSE)</f>
        <v>On Line Journal Entries</v>
      </c>
      <c r="J1318" s="412">
        <v>1250205.56</v>
      </c>
      <c r="K1318" s="385">
        <v>45630</v>
      </c>
      <c r="L1318" s="387" t="s">
        <v>2151</v>
      </c>
      <c r="M1318" s="390">
        <v>45630.488217592596</v>
      </c>
      <c r="N1318" s="367" t="s">
        <v>356</v>
      </c>
      <c r="O1318" s="368" t="s">
        <v>371</v>
      </c>
      <c r="P1318" s="367" t="str">
        <f t="shared" si="0"/>
        <v>Revenue</v>
      </c>
      <c r="Q1318" s="366" t="s">
        <v>2165</v>
      </c>
      <c r="R1318" s="366" t="s">
        <v>2165</v>
      </c>
      <c r="S1318" s="366">
        <v>751500</v>
      </c>
    </row>
    <row r="1319" spans="1:19" ht="30" hidden="1" outlineLevel="1">
      <c r="B1319" s="384">
        <v>2025</v>
      </c>
      <c r="C1319" s="384">
        <v>5</v>
      </c>
      <c r="D1319" s="367" t="s">
        <v>5</v>
      </c>
      <c r="E1319" s="367" t="s">
        <v>6</v>
      </c>
      <c r="F1319" s="389" t="s">
        <v>2145</v>
      </c>
      <c r="G1319" s="385">
        <v>45623</v>
      </c>
      <c r="H1319" s="367" t="s">
        <v>9</v>
      </c>
      <c r="I1319" s="368" t="str">
        <f>VLOOKUP(H1319,'Source Codes'!A$2:B$115,2,FALSE)</f>
        <v>On Line Journal Entries</v>
      </c>
      <c r="J1319" s="412">
        <v>-3263775.57</v>
      </c>
      <c r="K1319" s="385">
        <v>45630</v>
      </c>
      <c r="L1319" s="387" t="s">
        <v>2152</v>
      </c>
      <c r="M1319" s="390">
        <v>45630.484675925924</v>
      </c>
      <c r="N1319" s="367" t="s">
        <v>356</v>
      </c>
      <c r="O1319" s="368" t="s">
        <v>371</v>
      </c>
      <c r="P1319" s="367" t="str">
        <f t="shared" si="0"/>
        <v>Expense</v>
      </c>
      <c r="Q1319" s="366" t="s">
        <v>205</v>
      </c>
      <c r="R1319" s="366" t="s">
        <v>205</v>
      </c>
      <c r="S1319" s="366" t="s">
        <v>2166</v>
      </c>
    </row>
    <row r="1320" spans="1:19" ht="15" hidden="1" outlineLevel="1">
      <c r="B1320" s="384">
        <v>2025</v>
      </c>
      <c r="C1320" s="384">
        <v>5</v>
      </c>
      <c r="D1320" s="367" t="s">
        <v>5</v>
      </c>
      <c r="E1320" s="367" t="s">
        <v>6</v>
      </c>
      <c r="F1320" s="389" t="s">
        <v>2146</v>
      </c>
      <c r="G1320" s="385">
        <v>45623</v>
      </c>
      <c r="H1320" s="367" t="s">
        <v>7</v>
      </c>
      <c r="I1320" s="368" t="str">
        <f>VLOOKUP(H1320,'Source Codes'!A$2:B$115,2,FALSE)</f>
        <v>HRMS Interface Journals</v>
      </c>
      <c r="J1320" s="412">
        <v>-70834723.280000001</v>
      </c>
      <c r="K1320" s="385">
        <v>45630</v>
      </c>
      <c r="L1320" s="387" t="s">
        <v>406</v>
      </c>
      <c r="M1320" s="390">
        <v>45630.32603009259</v>
      </c>
      <c r="N1320" s="367" t="s">
        <v>365</v>
      </c>
      <c r="O1320" s="367" t="s">
        <v>366</v>
      </c>
      <c r="P1320" s="367" t="str">
        <f t="shared" si="0"/>
        <v>Expense</v>
      </c>
      <c r="Q1320" s="366" t="s">
        <v>379</v>
      </c>
      <c r="R1320" s="366" t="s">
        <v>2180</v>
      </c>
      <c r="S1320" s="366" t="s">
        <v>203</v>
      </c>
    </row>
    <row r="1321" spans="1:19" ht="12.75" customHeight="1" collapsed="1">
      <c r="J1321" s="413">
        <f>SUM(J1311:J1320)</f>
        <v>-36808593.919999994</v>
      </c>
    </row>
    <row r="1323" spans="1:19" ht="12.75" customHeight="1">
      <c r="A1323" s="378" t="s">
        <v>2167</v>
      </c>
    </row>
    <row r="1324" spans="1:19" ht="30" hidden="1" outlineLevel="1">
      <c r="B1324" s="384">
        <v>2025</v>
      </c>
      <c r="C1324" s="384">
        <v>6</v>
      </c>
      <c r="D1324" s="367" t="s">
        <v>5</v>
      </c>
      <c r="E1324" s="367" t="s">
        <v>6</v>
      </c>
      <c r="F1324" s="389" t="s">
        <v>2168</v>
      </c>
      <c r="G1324" s="385">
        <v>45631</v>
      </c>
      <c r="H1324" s="367" t="s">
        <v>14</v>
      </c>
      <c r="I1324" s="368" t="str">
        <f>VLOOKUP(H1324,'Source Codes'!A$2:B$115,2,FALSE)</f>
        <v>AP Warrant Issuance</v>
      </c>
      <c r="J1324" s="412">
        <v>-1673517.42</v>
      </c>
      <c r="K1324" s="385">
        <v>45631</v>
      </c>
      <c r="L1324" s="387" t="s">
        <v>2169</v>
      </c>
      <c r="M1324" s="390">
        <v>45631.793761574074</v>
      </c>
      <c r="N1324" s="367" t="s">
        <v>356</v>
      </c>
      <c r="O1324" s="368" t="s">
        <v>368</v>
      </c>
      <c r="P1324" s="367" t="str">
        <f>IF(J1324&gt;0,"Revenue",IF(J1324&lt;0,"Expense"))</f>
        <v>Expense</v>
      </c>
      <c r="Q1324" s="366" t="s">
        <v>2154</v>
      </c>
      <c r="R1324" s="366" t="s">
        <v>2154</v>
      </c>
      <c r="S1324" s="366" t="s">
        <v>203</v>
      </c>
    </row>
    <row r="1325" spans="1:19" ht="30" hidden="1" outlineLevel="1">
      <c r="B1325" s="384">
        <v>2025</v>
      </c>
      <c r="C1325" s="384">
        <v>5</v>
      </c>
      <c r="D1325" s="367" t="s">
        <v>5</v>
      </c>
      <c r="E1325" s="367" t="s">
        <v>6</v>
      </c>
      <c r="F1325" s="389" t="s">
        <v>2172</v>
      </c>
      <c r="G1325" s="385">
        <v>45621</v>
      </c>
      <c r="H1325" s="367" t="s">
        <v>9</v>
      </c>
      <c r="I1325" s="368" t="str">
        <f>VLOOKUP(H1325,'Source Codes'!A$2:B$115,2,FALSE)</f>
        <v>On Line Journal Entries</v>
      </c>
      <c r="J1325" s="412">
        <v>3808751.66</v>
      </c>
      <c r="K1325" s="385">
        <v>45631</v>
      </c>
      <c r="L1325" s="387" t="s">
        <v>2170</v>
      </c>
      <c r="M1325" s="390">
        <v>45631.452569444446</v>
      </c>
      <c r="N1325" s="367" t="s">
        <v>356</v>
      </c>
      <c r="O1325" s="368" t="s">
        <v>368</v>
      </c>
      <c r="P1325" s="367" t="str">
        <f>IF(J1325&gt;0,"Revenue",IF(J1325&lt;0,"Expense"))</f>
        <v>Revenue</v>
      </c>
      <c r="Q1325" s="366" t="s">
        <v>2177</v>
      </c>
      <c r="R1325" s="366" t="s">
        <v>2178</v>
      </c>
      <c r="S1325" s="366">
        <v>755931</v>
      </c>
    </row>
    <row r="1326" spans="1:19" ht="30" hidden="1" outlineLevel="1">
      <c r="B1326" s="384">
        <v>2025</v>
      </c>
      <c r="C1326" s="384">
        <v>5</v>
      </c>
      <c r="D1326" s="367" t="s">
        <v>5</v>
      </c>
      <c r="E1326" s="367" t="s">
        <v>6</v>
      </c>
      <c r="F1326" s="389" t="s">
        <v>2173</v>
      </c>
      <c r="G1326" s="385">
        <v>45621</v>
      </c>
      <c r="H1326" s="367" t="s">
        <v>9</v>
      </c>
      <c r="I1326" s="368" t="str">
        <f>VLOOKUP(H1326,'Source Codes'!A$2:B$115,2,FALSE)</f>
        <v>On Line Journal Entries</v>
      </c>
      <c r="J1326" s="412">
        <v>1038934.58</v>
      </c>
      <c r="K1326" s="385">
        <v>45631</v>
      </c>
      <c r="L1326" s="387" t="s">
        <v>2171</v>
      </c>
      <c r="M1326" s="390">
        <v>45631.449259259258</v>
      </c>
      <c r="N1326" s="367" t="s">
        <v>356</v>
      </c>
      <c r="O1326" s="368" t="s">
        <v>368</v>
      </c>
      <c r="P1326" s="367" t="str">
        <f>IF(J1326&gt;0,"Revenue",IF(J1326&lt;0,"Expense"))</f>
        <v>Revenue</v>
      </c>
      <c r="Q1326" s="366" t="s">
        <v>2177</v>
      </c>
      <c r="R1326" s="366" t="s">
        <v>2179</v>
      </c>
      <c r="S1326" s="366">
        <v>755180</v>
      </c>
    </row>
    <row r="1327" spans="1:19" ht="12.75" customHeight="1" collapsed="1">
      <c r="J1327" s="413">
        <f>SUM(J1324:J1326)</f>
        <v>3174168.8200000003</v>
      </c>
    </row>
    <row r="1329" spans="1:19" ht="12.75" customHeight="1">
      <c r="A1329" s="378" t="s">
        <v>2174</v>
      </c>
    </row>
    <row r="1330" spans="1:19" ht="30" hidden="1" outlineLevel="1">
      <c r="B1330" s="384">
        <v>2025</v>
      </c>
      <c r="C1330" s="384">
        <v>6</v>
      </c>
      <c r="D1330" s="367" t="s">
        <v>5</v>
      </c>
      <c r="E1330" s="367" t="s">
        <v>6</v>
      </c>
      <c r="F1330" s="389" t="s">
        <v>2175</v>
      </c>
      <c r="G1330" s="385">
        <v>45631</v>
      </c>
      <c r="H1330" s="367" t="s">
        <v>9</v>
      </c>
      <c r="I1330" s="368" t="str">
        <f>VLOOKUP(H1330,'Source Codes'!A$2:B$115,2,FALSE)</f>
        <v>On Line Journal Entries</v>
      </c>
      <c r="J1330" s="412">
        <v>8500000</v>
      </c>
      <c r="K1330" s="385">
        <v>45632</v>
      </c>
      <c r="L1330" s="387" t="s">
        <v>1941</v>
      </c>
      <c r="M1330" s="390">
        <v>45632.357175925928</v>
      </c>
      <c r="N1330" s="367" t="s">
        <v>387</v>
      </c>
      <c r="O1330" s="368" t="s">
        <v>371</v>
      </c>
      <c r="P1330" s="367" t="str">
        <f>IF(J1330&gt;0,"Revenue",IF(J1330&lt;0,"Expense"))</f>
        <v>Revenue</v>
      </c>
      <c r="Q1330" s="366" t="s">
        <v>2176</v>
      </c>
      <c r="R1330" s="366" t="s">
        <v>2176</v>
      </c>
      <c r="S1330" s="366">
        <v>132600</v>
      </c>
    </row>
    <row r="1331" spans="1:19" ht="12.75" customHeight="1" collapsed="1">
      <c r="J1331" s="413">
        <f>SUM(J1330)</f>
        <v>8500000</v>
      </c>
    </row>
    <row r="1333" spans="1:19" ht="12.75" customHeight="1">
      <c r="A1333" s="378" t="s">
        <v>2181</v>
      </c>
    </row>
    <row r="1334" spans="1:19" ht="30" hidden="1" outlineLevel="1">
      <c r="B1334" s="384">
        <v>2025</v>
      </c>
      <c r="C1334" s="384">
        <v>6</v>
      </c>
      <c r="D1334" s="367" t="s">
        <v>5</v>
      </c>
      <c r="E1334" s="367" t="s">
        <v>6</v>
      </c>
      <c r="F1334" s="389" t="s">
        <v>2182</v>
      </c>
      <c r="G1334" s="385">
        <v>45635</v>
      </c>
      <c r="H1334" s="367" t="s">
        <v>14</v>
      </c>
      <c r="I1334" s="368" t="str">
        <f>VLOOKUP(H1334,'Source Codes'!A$2:B$115,2,FALSE)</f>
        <v>AP Warrant Issuance</v>
      </c>
      <c r="J1334" s="412">
        <v>-1732720.66</v>
      </c>
      <c r="K1334" s="385">
        <v>45635</v>
      </c>
      <c r="L1334" s="387" t="s">
        <v>2184</v>
      </c>
      <c r="M1334" s="390">
        <v>45635.793854166666</v>
      </c>
      <c r="N1334" s="367" t="s">
        <v>2185</v>
      </c>
      <c r="O1334" s="368" t="s">
        <v>375</v>
      </c>
      <c r="P1334" s="367" t="str">
        <f>IF(J1334&gt;0,"Revenue",IF(J1334&lt;0,"Expense"))</f>
        <v>Expense</v>
      </c>
      <c r="Q1334" s="366" t="s">
        <v>2186</v>
      </c>
      <c r="R1334" s="366" t="s">
        <v>2258</v>
      </c>
      <c r="S1334" s="366">
        <v>527380</v>
      </c>
    </row>
    <row r="1335" spans="1:19" ht="30" hidden="1" outlineLevel="1">
      <c r="B1335" s="384">
        <v>2025</v>
      </c>
      <c r="C1335" s="384">
        <v>6</v>
      </c>
      <c r="D1335" s="367" t="s">
        <v>5</v>
      </c>
      <c r="E1335" s="367" t="s">
        <v>6</v>
      </c>
      <c r="F1335" s="389" t="s">
        <v>2183</v>
      </c>
      <c r="G1335" s="385">
        <v>45635</v>
      </c>
      <c r="H1335" s="367" t="s">
        <v>11</v>
      </c>
      <c r="I1335" s="368" t="str">
        <f>VLOOKUP(H1335,'Source Codes'!A$2:B$115,2,FALSE)</f>
        <v>AR Payments</v>
      </c>
      <c r="J1335" s="412">
        <v>1295650.8600000001</v>
      </c>
      <c r="K1335" s="385">
        <v>45635</v>
      </c>
      <c r="L1335" s="387" t="s">
        <v>2187</v>
      </c>
      <c r="M1335" s="390">
        <v>45635.751898148148</v>
      </c>
      <c r="N1335" s="367" t="s">
        <v>356</v>
      </c>
      <c r="O1335" s="368" t="s">
        <v>357</v>
      </c>
      <c r="P1335" s="367" t="str">
        <f>IF(J1335&gt;0,"Revenue",IF(J1335&lt;0,"Expense"))</f>
        <v>Revenue</v>
      </c>
      <c r="Q1335" s="366" t="s">
        <v>2157</v>
      </c>
      <c r="R1335" s="366" t="s">
        <v>2157</v>
      </c>
      <c r="S1335" s="366" t="s">
        <v>2159</v>
      </c>
    </row>
    <row r="1336" spans="1:19" ht="12.75" customHeight="1" collapsed="1">
      <c r="J1336" s="413">
        <f>SUM(J1334:J1335)</f>
        <v>-437069.79999999981</v>
      </c>
    </row>
    <row r="1338" spans="1:19" ht="12.75" customHeight="1">
      <c r="A1338" s="378" t="s">
        <v>2188</v>
      </c>
    </row>
    <row r="1339" spans="1:19" ht="30" hidden="1" outlineLevel="1">
      <c r="B1339" s="384">
        <v>2025</v>
      </c>
      <c r="C1339" s="384">
        <v>6</v>
      </c>
      <c r="D1339" s="367" t="s">
        <v>5</v>
      </c>
      <c r="E1339" s="367" t="s">
        <v>6</v>
      </c>
      <c r="F1339" s="389" t="s">
        <v>2189</v>
      </c>
      <c r="G1339" s="385">
        <v>45632</v>
      </c>
      <c r="H1339" s="367" t="s">
        <v>16</v>
      </c>
      <c r="I1339" s="368" t="str">
        <f>VLOOKUP(H1339,'Source Codes'!A$2:B$115,2,FALSE)</f>
        <v>Property Tax Interface</v>
      </c>
      <c r="J1339" s="412">
        <v>102657439.56999999</v>
      </c>
      <c r="K1339" s="385">
        <v>45636</v>
      </c>
      <c r="L1339" s="387" t="s">
        <v>2194</v>
      </c>
      <c r="M1339" s="390">
        <v>45636.480150462965</v>
      </c>
      <c r="N1339" s="367" t="s">
        <v>387</v>
      </c>
      <c r="O1339" s="368" t="s">
        <v>384</v>
      </c>
      <c r="P1339" s="367" t="str">
        <f>IF(J1339&gt;0,"Revenue",IF(J1339&lt;0,"Expense"))</f>
        <v>Revenue</v>
      </c>
      <c r="Q1339" s="366" t="s">
        <v>2199</v>
      </c>
      <c r="R1339" s="366" t="s">
        <v>2201</v>
      </c>
      <c r="S1339" s="366" t="s">
        <v>2200</v>
      </c>
    </row>
    <row r="1340" spans="1:19" ht="30" hidden="1" outlineLevel="1">
      <c r="B1340" s="384">
        <v>2025</v>
      </c>
      <c r="C1340" s="384">
        <v>6</v>
      </c>
      <c r="D1340" s="367" t="s">
        <v>5</v>
      </c>
      <c r="E1340" s="367" t="s">
        <v>6</v>
      </c>
      <c r="F1340" s="389" t="s">
        <v>2190</v>
      </c>
      <c r="G1340" s="385">
        <v>45627</v>
      </c>
      <c r="H1340" s="367" t="s">
        <v>9</v>
      </c>
      <c r="I1340" s="368" t="str">
        <f>VLOOKUP(H1340,'Source Codes'!A$2:B$115,2,FALSE)</f>
        <v>On Line Journal Entries</v>
      </c>
      <c r="J1340" s="412">
        <v>-5075223.83</v>
      </c>
      <c r="K1340" s="385">
        <v>45636</v>
      </c>
      <c r="L1340" s="387" t="s">
        <v>2195</v>
      </c>
      <c r="M1340" s="390">
        <v>45636.406539351854</v>
      </c>
      <c r="N1340" s="367" t="s">
        <v>356</v>
      </c>
      <c r="O1340" s="368" t="s">
        <v>374</v>
      </c>
      <c r="P1340" s="367" t="str">
        <f>IF(J1340&gt;0,"Revenue",IF(J1340&lt;0,"Expense"))</f>
        <v>Expense</v>
      </c>
      <c r="Q1340" s="366" t="s">
        <v>2202</v>
      </c>
      <c r="R1340" s="366" t="s">
        <v>2203</v>
      </c>
      <c r="S1340" s="366">
        <v>525840</v>
      </c>
    </row>
    <row r="1341" spans="1:19" ht="15" hidden="1" outlineLevel="1">
      <c r="B1341" s="384">
        <v>2025</v>
      </c>
      <c r="C1341" s="384">
        <v>6</v>
      </c>
      <c r="D1341" s="367" t="s">
        <v>5</v>
      </c>
      <c r="E1341" s="367" t="s">
        <v>6</v>
      </c>
      <c r="F1341" s="389" t="s">
        <v>2191</v>
      </c>
      <c r="G1341" s="385">
        <v>45628</v>
      </c>
      <c r="H1341" s="367" t="s">
        <v>13</v>
      </c>
      <c r="I1341" s="368" t="str">
        <f>VLOOKUP(H1341,'Source Codes'!A$2:B$115,2,FALSE)</f>
        <v>C-IV Voucher/Payments/EBT</v>
      </c>
      <c r="J1341" s="412">
        <v>-9434859.1600000001</v>
      </c>
      <c r="K1341" s="385">
        <v>45636</v>
      </c>
      <c r="L1341" s="387" t="s">
        <v>2196</v>
      </c>
      <c r="M1341" s="390">
        <v>45636.870243055557</v>
      </c>
      <c r="N1341" s="367" t="s">
        <v>356</v>
      </c>
      <c r="O1341" s="368" t="s">
        <v>364</v>
      </c>
      <c r="P1341" s="367" t="str">
        <f>IF(J1341&gt;0,"Revenue",IF(J1341&lt;0,"Expense"))</f>
        <v>Expense</v>
      </c>
      <c r="Q1341" s="366" t="s">
        <v>2204</v>
      </c>
      <c r="R1341" s="393">
        <v>45627</v>
      </c>
      <c r="S1341" s="366">
        <v>530480</v>
      </c>
    </row>
    <row r="1342" spans="1:19" ht="15" hidden="1" outlineLevel="1">
      <c r="B1342" s="384">
        <v>2025</v>
      </c>
      <c r="C1342" s="384">
        <v>6</v>
      </c>
      <c r="D1342" s="367" t="s">
        <v>5</v>
      </c>
      <c r="E1342" s="367" t="s">
        <v>6</v>
      </c>
      <c r="F1342" s="389" t="s">
        <v>2192</v>
      </c>
      <c r="G1342" s="385">
        <v>45628</v>
      </c>
      <c r="H1342" s="367" t="s">
        <v>13</v>
      </c>
      <c r="I1342" s="368" t="str">
        <f>VLOOKUP(H1342,'Source Codes'!A$2:B$115,2,FALSE)</f>
        <v>C-IV Voucher/Payments/EBT</v>
      </c>
      <c r="J1342" s="412">
        <v>-11692416.25</v>
      </c>
      <c r="K1342" s="385">
        <v>45636</v>
      </c>
      <c r="L1342" s="387" t="s">
        <v>2197</v>
      </c>
      <c r="M1342" s="390">
        <v>45636.378750000003</v>
      </c>
      <c r="N1342" s="367" t="s">
        <v>356</v>
      </c>
      <c r="O1342" s="368" t="s">
        <v>364</v>
      </c>
      <c r="P1342" s="367" t="str">
        <f>IF(J1342&gt;0,"Revenue",IF(J1342&lt;0,"Expense"))</f>
        <v>Expense</v>
      </c>
      <c r="Q1342" s="366" t="s">
        <v>2204</v>
      </c>
      <c r="R1342" s="393">
        <v>45627</v>
      </c>
      <c r="S1342" s="366">
        <v>530480</v>
      </c>
    </row>
    <row r="1343" spans="1:19" ht="15" hidden="1" outlineLevel="1">
      <c r="B1343" s="384">
        <v>2025</v>
      </c>
      <c r="C1343" s="384">
        <v>6</v>
      </c>
      <c r="D1343" s="367" t="s">
        <v>5</v>
      </c>
      <c r="E1343" s="367" t="s">
        <v>6</v>
      </c>
      <c r="F1343" s="389" t="s">
        <v>2193</v>
      </c>
      <c r="G1343" s="385">
        <v>45628</v>
      </c>
      <c r="H1343" s="367" t="s">
        <v>13</v>
      </c>
      <c r="I1343" s="368" t="str">
        <f>VLOOKUP(H1343,'Source Codes'!A$2:B$115,2,FALSE)</f>
        <v>C-IV Voucher/Payments/EBT</v>
      </c>
      <c r="J1343" s="412">
        <v>-16843229.949999999</v>
      </c>
      <c r="K1343" s="385">
        <v>45636</v>
      </c>
      <c r="L1343" s="387" t="s">
        <v>2198</v>
      </c>
      <c r="M1343" s="390">
        <v>45636.379652777781</v>
      </c>
      <c r="N1343" s="367" t="s">
        <v>356</v>
      </c>
      <c r="O1343" s="368" t="s">
        <v>364</v>
      </c>
      <c r="P1343" s="367" t="str">
        <f>IF(J1343&gt;0,"Revenue",IF(J1343&lt;0,"Expense"))</f>
        <v>Expense</v>
      </c>
      <c r="Q1343" s="366" t="s">
        <v>2204</v>
      </c>
      <c r="R1343" s="393">
        <v>45627</v>
      </c>
      <c r="S1343" s="366">
        <v>530480</v>
      </c>
    </row>
    <row r="1344" spans="1:19" ht="12.75" customHeight="1" collapsed="1">
      <c r="J1344" s="413">
        <f>SUM(J1339:J1343)</f>
        <v>59611710.379999995</v>
      </c>
    </row>
    <row r="1346" spans="1:19" ht="12.75" customHeight="1">
      <c r="A1346" s="378" t="s">
        <v>2205</v>
      </c>
    </row>
    <row r="1347" spans="1:19" ht="60" hidden="1" outlineLevel="1">
      <c r="B1347" s="384">
        <v>2025</v>
      </c>
      <c r="C1347" s="384">
        <v>6</v>
      </c>
      <c r="D1347" s="367" t="s">
        <v>5</v>
      </c>
      <c r="E1347" s="367" t="s">
        <v>6</v>
      </c>
      <c r="F1347" s="389" t="s">
        <v>2206</v>
      </c>
      <c r="G1347" s="385">
        <v>45642</v>
      </c>
      <c r="H1347" s="367" t="s">
        <v>14</v>
      </c>
      <c r="I1347" s="368" t="str">
        <f>VLOOKUP(H1347,'Source Codes'!A$2:B$115,2,FALSE)</f>
        <v>AP Warrant Issuance</v>
      </c>
      <c r="J1347" s="412">
        <v>-1397338.56</v>
      </c>
      <c r="K1347" s="385">
        <v>45638</v>
      </c>
      <c r="L1347" s="387" t="s">
        <v>2211</v>
      </c>
      <c r="M1347" s="390">
        <v>45638.793715277781</v>
      </c>
      <c r="N1347" s="367" t="s">
        <v>2185</v>
      </c>
      <c r="O1347" s="368" t="s">
        <v>370</v>
      </c>
      <c r="P1347" s="367" t="str">
        <f>IF(J1347&gt;0,"Revenue",IF(J1347&lt;0,"Expense"))</f>
        <v>Expense</v>
      </c>
      <c r="Q1347" s="366" t="s">
        <v>2212</v>
      </c>
      <c r="R1347" s="366" t="s">
        <v>2213</v>
      </c>
      <c r="S1347" s="366" t="s">
        <v>203</v>
      </c>
    </row>
    <row r="1348" spans="1:19" ht="30" hidden="1" outlineLevel="1">
      <c r="B1348" s="384">
        <v>2025</v>
      </c>
      <c r="C1348" s="384">
        <v>6</v>
      </c>
      <c r="D1348" s="367" t="s">
        <v>5</v>
      </c>
      <c r="E1348" s="367" t="s">
        <v>6</v>
      </c>
      <c r="F1348" s="389" t="s">
        <v>2207</v>
      </c>
      <c r="G1348" s="385">
        <v>45630</v>
      </c>
      <c r="H1348" s="367" t="s">
        <v>12</v>
      </c>
      <c r="I1348" s="368" t="str">
        <f>VLOOKUP(H1348,'Source Codes'!A$2:B$115,2,FALSE)</f>
        <v>AR Direct Cash Journal</v>
      </c>
      <c r="J1348" s="412">
        <v>5288368.09</v>
      </c>
      <c r="K1348" s="385">
        <v>45638</v>
      </c>
      <c r="L1348" s="387" t="s">
        <v>2215</v>
      </c>
      <c r="M1348" s="390">
        <v>45638.752013888887</v>
      </c>
      <c r="N1348" s="367" t="s">
        <v>2185</v>
      </c>
      <c r="O1348" s="368" t="s">
        <v>368</v>
      </c>
      <c r="P1348" s="367" t="str">
        <f>IF(J1348&gt;0,"Revenue",IF(J1348&lt;0,"Expense"))</f>
        <v>Revenue</v>
      </c>
      <c r="Q1348" s="366" t="s">
        <v>2177</v>
      </c>
      <c r="R1348" s="366" t="s">
        <v>2214</v>
      </c>
      <c r="S1348" s="366" t="s">
        <v>2216</v>
      </c>
    </row>
    <row r="1349" spans="1:19" ht="60" hidden="1" outlineLevel="1">
      <c r="B1349" s="384">
        <v>2025</v>
      </c>
      <c r="C1349" s="384">
        <v>6</v>
      </c>
      <c r="D1349" s="367" t="s">
        <v>5</v>
      </c>
      <c r="E1349" s="367" t="s">
        <v>6</v>
      </c>
      <c r="F1349" s="389" t="s">
        <v>2208</v>
      </c>
      <c r="G1349" s="385">
        <v>45638</v>
      </c>
      <c r="H1349" s="367" t="s">
        <v>11</v>
      </c>
      <c r="I1349" s="368" t="str">
        <f>VLOOKUP(H1349,'Source Codes'!A$2:B$115,2,FALSE)</f>
        <v>AR Payments</v>
      </c>
      <c r="J1349" s="412">
        <v>6971734.4100000001</v>
      </c>
      <c r="K1349" s="385">
        <v>45638</v>
      </c>
      <c r="L1349" s="387" t="s">
        <v>2218</v>
      </c>
      <c r="M1349" s="390">
        <v>45638.752013888887</v>
      </c>
      <c r="N1349" s="367" t="s">
        <v>356</v>
      </c>
      <c r="O1349" s="368" t="s">
        <v>357</v>
      </c>
      <c r="P1349" s="367" t="str">
        <f>IF(J1349&gt;0,"Revenue",IF(J1349&lt;0,"Expense"))</f>
        <v>Revenue</v>
      </c>
      <c r="Q1349" s="366" t="s">
        <v>2157</v>
      </c>
      <c r="R1349" s="366" t="s">
        <v>2157</v>
      </c>
      <c r="S1349" s="366" t="s">
        <v>2217</v>
      </c>
    </row>
    <row r="1350" spans="1:19" ht="15" hidden="1" outlineLevel="1">
      <c r="B1350" s="384">
        <v>2025</v>
      </c>
      <c r="C1350" s="384">
        <v>6</v>
      </c>
      <c r="D1350" s="367" t="s">
        <v>5</v>
      </c>
      <c r="E1350" s="367" t="s">
        <v>6</v>
      </c>
      <c r="F1350" s="389" t="s">
        <v>2209</v>
      </c>
      <c r="G1350" s="385">
        <v>45637</v>
      </c>
      <c r="H1350" s="367" t="s">
        <v>9</v>
      </c>
      <c r="I1350" s="368" t="str">
        <f>VLOOKUP(H1350,'Source Codes'!A$2:B$115,2,FALSE)</f>
        <v>On Line Journal Entries</v>
      </c>
      <c r="J1350" s="412">
        <v>-1542083</v>
      </c>
      <c r="K1350" s="385">
        <v>45638</v>
      </c>
      <c r="L1350" s="387" t="s">
        <v>2210</v>
      </c>
      <c r="M1350" s="390">
        <v>45638.870983796296</v>
      </c>
      <c r="N1350" s="367" t="s">
        <v>356</v>
      </c>
      <c r="O1350" s="368" t="s">
        <v>368</v>
      </c>
      <c r="P1350" s="367" t="str">
        <f>IF(J1350&gt;0,"Revenue",IF(J1350&lt;0,"Expense"))</f>
        <v>Expense</v>
      </c>
      <c r="Q1350" s="366" t="s">
        <v>2219</v>
      </c>
      <c r="R1350" s="366" t="s">
        <v>2220</v>
      </c>
      <c r="S1350" s="366">
        <v>530280</v>
      </c>
    </row>
    <row r="1351" spans="1:19" ht="12.75" customHeight="1" collapsed="1">
      <c r="J1351" s="413">
        <f>SUM(J1347:J1350)</f>
        <v>9320680.9399999995</v>
      </c>
    </row>
    <row r="1353" spans="1:19" ht="12.75" customHeight="1">
      <c r="A1353" s="378" t="s">
        <v>2221</v>
      </c>
    </row>
    <row r="1354" spans="1:19" ht="45" hidden="1" outlineLevel="1">
      <c r="B1354" s="384">
        <v>2025</v>
      </c>
      <c r="C1354" s="384">
        <v>6</v>
      </c>
      <c r="D1354" s="367" t="s">
        <v>5</v>
      </c>
      <c r="E1354" s="367" t="s">
        <v>6</v>
      </c>
      <c r="F1354" s="389" t="s">
        <v>2222</v>
      </c>
      <c r="G1354" s="385">
        <v>45642</v>
      </c>
      <c r="H1354" s="367" t="s">
        <v>11</v>
      </c>
      <c r="I1354" s="368" t="str">
        <f>VLOOKUP(H1354,'Source Codes'!A$2:B$115,2,FALSE)</f>
        <v>AR Payments</v>
      </c>
      <c r="J1354" s="412">
        <v>1511049.97</v>
      </c>
      <c r="K1354" s="385">
        <v>45642</v>
      </c>
      <c r="L1354" s="387" t="s">
        <v>2230</v>
      </c>
      <c r="M1354" s="390">
        <v>45642.751944444448</v>
      </c>
      <c r="N1354" s="367" t="s">
        <v>356</v>
      </c>
      <c r="O1354" s="368" t="s">
        <v>357</v>
      </c>
      <c r="P1354" s="367" t="str">
        <f>IF(J1354&gt;0,"Revenue",IF(J1354&lt;0,"Expense"))</f>
        <v>Revenue</v>
      </c>
      <c r="Q1354" s="366" t="s">
        <v>2157</v>
      </c>
      <c r="R1354" s="366" t="s">
        <v>2157</v>
      </c>
      <c r="S1354" s="366" t="s">
        <v>2231</v>
      </c>
    </row>
    <row r="1355" spans="1:19" ht="30" hidden="1" outlineLevel="1">
      <c r="B1355" s="384">
        <v>2025</v>
      </c>
      <c r="C1355" s="384">
        <v>6</v>
      </c>
      <c r="D1355" s="367" t="s">
        <v>5</v>
      </c>
      <c r="E1355" s="367" t="s">
        <v>6</v>
      </c>
      <c r="F1355" s="389" t="s">
        <v>2223</v>
      </c>
      <c r="G1355" s="385">
        <v>45627</v>
      </c>
      <c r="H1355" s="367" t="s">
        <v>9</v>
      </c>
      <c r="I1355" s="368" t="str">
        <f>VLOOKUP(H1355,'Source Codes'!A$2:B$115,2,FALSE)</f>
        <v>On Line Journal Entries</v>
      </c>
      <c r="J1355" s="412">
        <v>20463817</v>
      </c>
      <c r="K1355" s="385">
        <v>45642</v>
      </c>
      <c r="L1355" s="387" t="s">
        <v>344</v>
      </c>
      <c r="M1355" s="390">
        <v>45642.870358796295</v>
      </c>
      <c r="N1355" s="367" t="s">
        <v>356</v>
      </c>
      <c r="O1355" s="368" t="s">
        <v>364</v>
      </c>
      <c r="P1355" s="367" t="str">
        <f>IF(J1355&gt;0,"Revenue",IF(J1355&lt;0,"Expense"))</f>
        <v>Revenue</v>
      </c>
      <c r="Q1355" s="366" t="s">
        <v>2232</v>
      </c>
      <c r="R1355" s="366" t="s">
        <v>2232</v>
      </c>
      <c r="S1355" s="366" t="s">
        <v>2233</v>
      </c>
    </row>
    <row r="1356" spans="1:19" ht="75" hidden="1" outlineLevel="1">
      <c r="B1356" s="384">
        <v>2025</v>
      </c>
      <c r="C1356" s="384">
        <v>6</v>
      </c>
      <c r="D1356" s="367" t="s">
        <v>5</v>
      </c>
      <c r="E1356" s="367" t="s">
        <v>6</v>
      </c>
      <c r="F1356" s="389" t="s">
        <v>2224</v>
      </c>
      <c r="G1356" s="385">
        <v>45636</v>
      </c>
      <c r="H1356" s="367" t="s">
        <v>9</v>
      </c>
      <c r="I1356" s="368" t="str">
        <f>VLOOKUP(H1356,'Source Codes'!A$2:B$115,2,FALSE)</f>
        <v>On Line Journal Entries</v>
      </c>
      <c r="J1356" s="412">
        <v>1408700</v>
      </c>
      <c r="K1356" s="385">
        <v>45642</v>
      </c>
      <c r="L1356" s="387" t="s">
        <v>2227</v>
      </c>
      <c r="M1356" s="390">
        <v>45642.870358796295</v>
      </c>
      <c r="N1356" s="367" t="s">
        <v>2185</v>
      </c>
      <c r="O1356" s="368" t="s">
        <v>364</v>
      </c>
      <c r="P1356" s="367" t="str">
        <f>IF(J1356&gt;0,"Revenue",IF(J1356&lt;0,"Expense"))</f>
        <v>Revenue</v>
      </c>
      <c r="Q1356" s="366" t="s">
        <v>2234</v>
      </c>
      <c r="R1356" s="366" t="s">
        <v>2236</v>
      </c>
      <c r="S1356" s="366" t="s">
        <v>2235</v>
      </c>
    </row>
    <row r="1357" spans="1:19" ht="30" hidden="1" outlineLevel="1">
      <c r="B1357" s="384">
        <v>2025</v>
      </c>
      <c r="C1357" s="384">
        <v>6</v>
      </c>
      <c r="D1357" s="367" t="s">
        <v>5</v>
      </c>
      <c r="E1357" s="367" t="s">
        <v>6</v>
      </c>
      <c r="F1357" s="389" t="s">
        <v>2225</v>
      </c>
      <c r="G1357" s="385">
        <v>45639</v>
      </c>
      <c r="H1357" s="367" t="s">
        <v>337</v>
      </c>
      <c r="I1357" s="368" t="str">
        <f>VLOOKUP(H1357,'Source Codes'!A$2:B$115,2,FALSE)</f>
        <v>Facilities Mngmnt Intfc Jrnls</v>
      </c>
      <c r="J1357" s="412">
        <v>-4218821.8099999996</v>
      </c>
      <c r="K1357" s="385">
        <v>45642</v>
      </c>
      <c r="L1357" s="387" t="s">
        <v>2228</v>
      </c>
      <c r="M1357" s="390">
        <v>45642.870439814818</v>
      </c>
      <c r="N1357" s="367" t="s">
        <v>356</v>
      </c>
      <c r="O1357" s="368" t="s">
        <v>367</v>
      </c>
      <c r="P1357" s="367" t="str">
        <f>IF(J1357&gt;0,"Revenue",IF(J1357&lt;0,"Expense"))</f>
        <v>Expense</v>
      </c>
      <c r="Q1357" s="366" t="s">
        <v>2237</v>
      </c>
      <c r="R1357" s="366" t="s">
        <v>2238</v>
      </c>
      <c r="S1357" s="366" t="s">
        <v>2239</v>
      </c>
    </row>
    <row r="1358" spans="1:19" ht="15" hidden="1" outlineLevel="1">
      <c r="B1358" s="384">
        <v>2025</v>
      </c>
      <c r="C1358" s="384">
        <v>6</v>
      </c>
      <c r="D1358" s="367" t="s">
        <v>5</v>
      </c>
      <c r="E1358" s="367" t="s">
        <v>6</v>
      </c>
      <c r="F1358" s="389" t="s">
        <v>2226</v>
      </c>
      <c r="G1358" s="385">
        <v>45636</v>
      </c>
      <c r="H1358" s="367" t="s">
        <v>337</v>
      </c>
      <c r="I1358" s="368" t="str">
        <f>VLOOKUP(H1358,'Source Codes'!A$2:B$115,2,FALSE)</f>
        <v>Facilities Mngmnt Intfc Jrnls</v>
      </c>
      <c r="J1358" s="412">
        <v>-8231933.0300000003</v>
      </c>
      <c r="K1358" s="385">
        <v>45642</v>
      </c>
      <c r="L1358" s="387" t="s">
        <v>2229</v>
      </c>
      <c r="M1358" s="390">
        <v>45642.610532407409</v>
      </c>
      <c r="N1358" s="367" t="s">
        <v>356</v>
      </c>
      <c r="O1358" s="368" t="s">
        <v>367</v>
      </c>
      <c r="P1358" s="367" t="str">
        <f>IF(J1358&gt;0,"Revenue",IF(J1358&lt;0,"Expense"))</f>
        <v>Expense</v>
      </c>
      <c r="Q1358" s="366" t="s">
        <v>2240</v>
      </c>
      <c r="R1358" s="366" t="s">
        <v>2241</v>
      </c>
      <c r="S1358" s="366" t="s">
        <v>2242</v>
      </c>
    </row>
    <row r="1359" spans="1:19" ht="12.75" customHeight="1" collapsed="1">
      <c r="J1359" s="413">
        <f>SUM(J1354:J1358)</f>
        <v>10932812.129999999</v>
      </c>
    </row>
    <row r="1361" spans="1:19" ht="12.75" customHeight="1">
      <c r="A1361" s="378" t="s">
        <v>2243</v>
      </c>
    </row>
    <row r="1362" spans="1:19" ht="60" hidden="1" outlineLevel="1">
      <c r="B1362" s="384">
        <v>2025</v>
      </c>
      <c r="C1362" s="384">
        <v>6</v>
      </c>
      <c r="D1362" s="367" t="s">
        <v>5</v>
      </c>
      <c r="E1362" s="367" t="s">
        <v>6</v>
      </c>
      <c r="F1362" s="389" t="s">
        <v>2244</v>
      </c>
      <c r="G1362" s="385">
        <v>45645</v>
      </c>
      <c r="H1362" s="367" t="s">
        <v>14</v>
      </c>
      <c r="I1362" s="368" t="str">
        <f>VLOOKUP(H1362,'Source Codes'!A$2:B$115,2,FALSE)</f>
        <v>AP Warrant Issuance</v>
      </c>
      <c r="J1362" s="412">
        <v>-5177783.75</v>
      </c>
      <c r="K1362" s="385">
        <v>45643</v>
      </c>
      <c r="L1362" s="387" t="s">
        <v>2259</v>
      </c>
      <c r="M1362" s="390">
        <v>45643.793819444443</v>
      </c>
      <c r="N1362" s="367" t="s">
        <v>356</v>
      </c>
      <c r="O1362" s="368" t="s">
        <v>364</v>
      </c>
      <c r="P1362" s="367" t="str">
        <f t="shared" ref="P1362:P1368" si="1">IF(J1362&gt;0,"Revenue",IF(J1362&lt;0,"Expense"))</f>
        <v>Expense</v>
      </c>
      <c r="Q1362" s="366" t="s">
        <v>2254</v>
      </c>
      <c r="R1362" s="393">
        <v>45627</v>
      </c>
      <c r="S1362" s="366">
        <v>530440</v>
      </c>
    </row>
    <row r="1363" spans="1:19" ht="90" hidden="1" outlineLevel="1">
      <c r="B1363" s="384">
        <v>2025</v>
      </c>
      <c r="C1363" s="384">
        <v>6</v>
      </c>
      <c r="D1363" s="367" t="s">
        <v>5</v>
      </c>
      <c r="E1363" s="367" t="s">
        <v>6</v>
      </c>
      <c r="F1363" s="389" t="s">
        <v>2245</v>
      </c>
      <c r="G1363" s="385">
        <v>45643</v>
      </c>
      <c r="H1363" s="367" t="s">
        <v>14</v>
      </c>
      <c r="I1363" s="368" t="str">
        <f>VLOOKUP(H1363,'Source Codes'!A$2:B$115,2,FALSE)</f>
        <v>AP Warrant Issuance</v>
      </c>
      <c r="J1363" s="412">
        <v>-3064177.53</v>
      </c>
      <c r="K1363" s="385">
        <v>45643</v>
      </c>
      <c r="L1363" s="387" t="s">
        <v>2260</v>
      </c>
      <c r="M1363" s="390">
        <v>45643.793819444443</v>
      </c>
      <c r="N1363" s="367" t="s">
        <v>2185</v>
      </c>
      <c r="O1363" s="368" t="s">
        <v>375</v>
      </c>
      <c r="P1363" s="367" t="str">
        <f t="shared" si="1"/>
        <v>Expense</v>
      </c>
      <c r="Q1363" s="366" t="s">
        <v>2255</v>
      </c>
      <c r="R1363" s="366" t="s">
        <v>2257</v>
      </c>
      <c r="S1363" s="366" t="s">
        <v>2256</v>
      </c>
    </row>
    <row r="1364" spans="1:19" ht="60" hidden="1" outlineLevel="1">
      <c r="B1364" s="384">
        <v>2025</v>
      </c>
      <c r="C1364" s="384">
        <v>6</v>
      </c>
      <c r="D1364" s="367" t="s">
        <v>5</v>
      </c>
      <c r="E1364" s="367" t="s">
        <v>6</v>
      </c>
      <c r="F1364" s="389" t="s">
        <v>2246</v>
      </c>
      <c r="G1364" s="385">
        <v>45643</v>
      </c>
      <c r="H1364" s="367" t="s">
        <v>14</v>
      </c>
      <c r="I1364" s="368" t="str">
        <f>VLOOKUP(H1364,'Source Codes'!A$2:B$115,2,FALSE)</f>
        <v>AP Warrant Issuance</v>
      </c>
      <c r="J1364" s="412">
        <v>-2075950.88</v>
      </c>
      <c r="K1364" s="385">
        <v>45643</v>
      </c>
      <c r="L1364" s="387" t="s">
        <v>2261</v>
      </c>
      <c r="M1364" s="390">
        <v>45643.793819444443</v>
      </c>
      <c r="N1364" s="367" t="s">
        <v>361</v>
      </c>
      <c r="O1364" s="368" t="s">
        <v>362</v>
      </c>
      <c r="P1364" s="367" t="str">
        <f t="shared" si="1"/>
        <v>Expense</v>
      </c>
      <c r="Q1364" s="366" t="s">
        <v>2262</v>
      </c>
      <c r="R1364" s="366" t="s">
        <v>2262</v>
      </c>
      <c r="S1364" s="366">
        <v>525440</v>
      </c>
    </row>
    <row r="1365" spans="1:19" ht="45" hidden="1" outlineLevel="1">
      <c r="B1365" s="384">
        <v>2025</v>
      </c>
      <c r="C1365" s="384">
        <v>6</v>
      </c>
      <c r="D1365" s="367" t="s">
        <v>5</v>
      </c>
      <c r="E1365" s="367" t="s">
        <v>6</v>
      </c>
      <c r="F1365" s="389" t="s">
        <v>2247</v>
      </c>
      <c r="G1365" s="385">
        <v>45638</v>
      </c>
      <c r="H1365" s="367" t="s">
        <v>12</v>
      </c>
      <c r="I1365" s="368" t="str">
        <f>VLOOKUP(H1365,'Source Codes'!A$2:B$115,2,FALSE)</f>
        <v>AR Direct Cash Journal</v>
      </c>
      <c r="J1365" s="412">
        <v>1628925.16</v>
      </c>
      <c r="K1365" s="385">
        <v>45643</v>
      </c>
      <c r="L1365" s="387" t="s">
        <v>2263</v>
      </c>
      <c r="M1365" s="390">
        <v>45643.751701388886</v>
      </c>
      <c r="N1365" s="367" t="s">
        <v>356</v>
      </c>
      <c r="O1365" s="368" t="s">
        <v>370</v>
      </c>
      <c r="P1365" s="367" t="str">
        <f t="shared" si="1"/>
        <v>Revenue</v>
      </c>
      <c r="Q1365" s="366" t="s">
        <v>2264</v>
      </c>
      <c r="R1365" s="366" t="s">
        <v>2265</v>
      </c>
      <c r="S1365" s="366">
        <v>779160</v>
      </c>
    </row>
    <row r="1366" spans="1:19" ht="30" hidden="1" outlineLevel="1">
      <c r="B1366" s="384">
        <v>2025</v>
      </c>
      <c r="C1366" s="384">
        <v>6</v>
      </c>
      <c r="D1366" s="367" t="s">
        <v>5</v>
      </c>
      <c r="E1366" s="367" t="s">
        <v>6</v>
      </c>
      <c r="F1366" s="389" t="s">
        <v>2248</v>
      </c>
      <c r="G1366" s="385">
        <v>45642</v>
      </c>
      <c r="H1366" s="367" t="s">
        <v>16</v>
      </c>
      <c r="I1366" s="368" t="str">
        <f>VLOOKUP(H1366,'Source Codes'!A$2:B$115,2,FALSE)</f>
        <v>Property Tax Interface</v>
      </c>
      <c r="J1366" s="412">
        <v>4480600.3</v>
      </c>
      <c r="K1366" s="385">
        <v>45643</v>
      </c>
      <c r="L1366" s="387" t="s">
        <v>2251</v>
      </c>
      <c r="M1366" s="390">
        <v>45643.396249999998</v>
      </c>
      <c r="N1366" s="367" t="s">
        <v>507</v>
      </c>
      <c r="O1366" s="368" t="s">
        <v>384</v>
      </c>
      <c r="P1366" s="367" t="str">
        <f t="shared" si="1"/>
        <v>Revenue</v>
      </c>
      <c r="Q1366" s="366" t="s">
        <v>2266</v>
      </c>
      <c r="R1366" s="366" t="s">
        <v>2267</v>
      </c>
      <c r="S1366" s="366">
        <v>770030</v>
      </c>
    </row>
    <row r="1367" spans="1:19" ht="30" hidden="1" outlineLevel="1">
      <c r="B1367" s="384">
        <v>2025</v>
      </c>
      <c r="C1367" s="384">
        <v>6</v>
      </c>
      <c r="D1367" s="367" t="s">
        <v>5</v>
      </c>
      <c r="E1367" s="367" t="s">
        <v>6</v>
      </c>
      <c r="F1367" s="389" t="s">
        <v>2249</v>
      </c>
      <c r="G1367" s="385">
        <v>45639</v>
      </c>
      <c r="H1367" s="367" t="s">
        <v>9</v>
      </c>
      <c r="I1367" s="368" t="str">
        <f>VLOOKUP(H1367,'Source Codes'!A$2:B$115,2,FALSE)</f>
        <v>On Line Journal Entries</v>
      </c>
      <c r="J1367" s="412">
        <v>2121882</v>
      </c>
      <c r="K1367" s="385">
        <v>45643</v>
      </c>
      <c r="L1367" s="387" t="s">
        <v>2252</v>
      </c>
      <c r="M1367" s="390">
        <v>45643.871354166666</v>
      </c>
      <c r="N1367" s="367" t="s">
        <v>356</v>
      </c>
      <c r="O1367" s="368" t="s">
        <v>369</v>
      </c>
      <c r="P1367" s="367" t="str">
        <f t="shared" si="1"/>
        <v>Revenue</v>
      </c>
      <c r="Q1367" s="366" t="s">
        <v>2268</v>
      </c>
      <c r="R1367" s="393">
        <v>45627</v>
      </c>
      <c r="S1367" s="366" t="s">
        <v>2269</v>
      </c>
    </row>
    <row r="1368" spans="1:19" ht="45" hidden="1" outlineLevel="1">
      <c r="B1368" s="384">
        <v>2025</v>
      </c>
      <c r="C1368" s="384">
        <v>6</v>
      </c>
      <c r="D1368" s="367" t="s">
        <v>5</v>
      </c>
      <c r="E1368" s="367" t="s">
        <v>6</v>
      </c>
      <c r="F1368" s="389" t="s">
        <v>2250</v>
      </c>
      <c r="G1368" s="385">
        <v>45638</v>
      </c>
      <c r="H1368" s="367" t="s">
        <v>9</v>
      </c>
      <c r="I1368" s="368" t="str">
        <f>VLOOKUP(H1368,'Source Codes'!A$2:B$115,2,FALSE)</f>
        <v>On Line Journal Entries</v>
      </c>
      <c r="J1368" s="412">
        <v>-6660875</v>
      </c>
      <c r="K1368" s="385">
        <v>45643</v>
      </c>
      <c r="L1368" s="387" t="s">
        <v>2253</v>
      </c>
      <c r="M1368" s="390">
        <v>45643.871354166666</v>
      </c>
      <c r="N1368" s="367" t="s">
        <v>356</v>
      </c>
      <c r="O1368" s="368" t="s">
        <v>368</v>
      </c>
      <c r="P1368" s="367" t="str">
        <f t="shared" si="1"/>
        <v>Expense</v>
      </c>
      <c r="Q1368" s="366" t="s">
        <v>2270</v>
      </c>
      <c r="R1368" s="366" t="s">
        <v>2271</v>
      </c>
      <c r="S1368" s="366">
        <v>530280</v>
      </c>
    </row>
    <row r="1369" spans="1:19" ht="12.75" customHeight="1" collapsed="1">
      <c r="J1369" s="413">
        <f>SUM(J1362:J1368)</f>
        <v>-8747379.6999999993</v>
      </c>
    </row>
    <row r="1371" spans="1:19" ht="12.75" customHeight="1">
      <c r="A1371" s="378" t="s">
        <v>2272</v>
      </c>
    </row>
    <row r="1372" spans="1:19" ht="60" hidden="1" outlineLevel="1">
      <c r="B1372" s="384">
        <v>2025</v>
      </c>
      <c r="C1372" s="384">
        <v>6</v>
      </c>
      <c r="D1372" s="367" t="s">
        <v>5</v>
      </c>
      <c r="E1372" s="367" t="s">
        <v>6</v>
      </c>
      <c r="F1372" s="389" t="s">
        <v>2273</v>
      </c>
      <c r="G1372" s="385">
        <v>45642</v>
      </c>
      <c r="H1372" s="367" t="s">
        <v>11</v>
      </c>
      <c r="I1372" s="368" t="str">
        <f>VLOOKUP(H1372,'Source Codes'!A$2:B$115,2,FALSE)</f>
        <v>AR Payments</v>
      </c>
      <c r="J1372" s="412">
        <v>1763236.82</v>
      </c>
      <c r="K1372" s="385">
        <v>45644</v>
      </c>
      <c r="L1372" s="387" t="s">
        <v>2277</v>
      </c>
      <c r="M1372" s="390">
        <v>45644.752013888887</v>
      </c>
      <c r="N1372" s="367" t="s">
        <v>356</v>
      </c>
      <c r="O1372" s="368" t="s">
        <v>357</v>
      </c>
      <c r="P1372" s="367" t="str">
        <f>IF(J1372&gt;0,"Revenue",IF(J1372&lt;0,"Expense"))</f>
        <v>Revenue</v>
      </c>
      <c r="Q1372" s="366" t="s">
        <v>2157</v>
      </c>
      <c r="R1372" s="393" t="s">
        <v>2157</v>
      </c>
      <c r="S1372" s="366" t="s">
        <v>2278</v>
      </c>
    </row>
    <row r="1373" spans="1:19" ht="45" hidden="1" outlineLevel="1">
      <c r="B1373" s="384">
        <v>2025</v>
      </c>
      <c r="C1373" s="384">
        <v>6</v>
      </c>
      <c r="D1373" s="367" t="s">
        <v>5</v>
      </c>
      <c r="E1373" s="367" t="s">
        <v>6</v>
      </c>
      <c r="F1373" s="389" t="s">
        <v>2274</v>
      </c>
      <c r="G1373" s="385">
        <v>45639</v>
      </c>
      <c r="H1373" s="367" t="s">
        <v>11</v>
      </c>
      <c r="I1373" s="368" t="str">
        <f>VLOOKUP(H1373,'Source Codes'!A$2:B$115,2,FALSE)</f>
        <v>AR Payments</v>
      </c>
      <c r="J1373" s="412">
        <v>2841863.26</v>
      </c>
      <c r="K1373" s="385">
        <v>45644</v>
      </c>
      <c r="L1373" s="387" t="s">
        <v>2279</v>
      </c>
      <c r="M1373" s="390">
        <v>45644.752013888887</v>
      </c>
      <c r="N1373" s="367" t="s">
        <v>356</v>
      </c>
      <c r="O1373" s="368" t="s">
        <v>357</v>
      </c>
      <c r="P1373" s="367" t="str">
        <f>IF(J1373&gt;0,"Revenue",IF(J1373&lt;0,"Expense"))</f>
        <v>Revenue</v>
      </c>
      <c r="Q1373" s="366" t="s">
        <v>2157</v>
      </c>
      <c r="R1373" s="393" t="s">
        <v>2157</v>
      </c>
      <c r="S1373" s="366" t="s">
        <v>2278</v>
      </c>
    </row>
    <row r="1374" spans="1:19" ht="15" hidden="1" outlineLevel="1">
      <c r="B1374" s="384">
        <v>2025</v>
      </c>
      <c r="C1374" s="384">
        <v>6</v>
      </c>
      <c r="D1374" s="367" t="s">
        <v>5</v>
      </c>
      <c r="E1374" s="367" t="s">
        <v>6</v>
      </c>
      <c r="F1374" s="389" t="s">
        <v>2275</v>
      </c>
      <c r="G1374" s="385">
        <v>45637</v>
      </c>
      <c r="H1374" s="367" t="s">
        <v>7</v>
      </c>
      <c r="I1374" s="368" t="str">
        <f>VLOOKUP(H1374,'Source Codes'!A$2:B$115,2,FALSE)</f>
        <v>HRMS Interface Journals</v>
      </c>
      <c r="J1374" s="412">
        <v>-2293612.4700000002</v>
      </c>
      <c r="K1374" s="385">
        <v>45644</v>
      </c>
      <c r="L1374" s="387" t="s">
        <v>409</v>
      </c>
      <c r="M1374" s="390">
        <v>45644.351284722223</v>
      </c>
      <c r="N1374" s="367" t="s">
        <v>378</v>
      </c>
      <c r="O1374" s="368" t="s">
        <v>379</v>
      </c>
      <c r="P1374" s="367" t="str">
        <f>IF(J1374&gt;0,"Revenue",IF(J1374&lt;0,"Expense"))</f>
        <v>Expense</v>
      </c>
      <c r="Q1374" s="366" t="s">
        <v>379</v>
      </c>
      <c r="R1374" s="366" t="s">
        <v>2280</v>
      </c>
      <c r="S1374" s="366">
        <v>513120</v>
      </c>
    </row>
    <row r="1375" spans="1:19" ht="15" hidden="1" outlineLevel="1">
      <c r="B1375" s="384">
        <v>2025</v>
      </c>
      <c r="C1375" s="384">
        <v>6</v>
      </c>
      <c r="D1375" s="367" t="s">
        <v>5</v>
      </c>
      <c r="E1375" s="367" t="s">
        <v>6</v>
      </c>
      <c r="F1375" s="389" t="s">
        <v>2276</v>
      </c>
      <c r="G1375" s="385">
        <v>45637</v>
      </c>
      <c r="H1375" s="367" t="s">
        <v>7</v>
      </c>
      <c r="I1375" s="368" t="str">
        <f>VLOOKUP(H1375,'Source Codes'!A$2:B$115,2,FALSE)</f>
        <v>HRMS Interface Journals</v>
      </c>
      <c r="J1375" s="412">
        <v>-10444532.609999999</v>
      </c>
      <c r="K1375" s="385">
        <v>45644</v>
      </c>
      <c r="L1375" s="387" t="s">
        <v>407</v>
      </c>
      <c r="M1375" s="390">
        <v>45644.349363425928</v>
      </c>
      <c r="N1375" s="367" t="s">
        <v>378</v>
      </c>
      <c r="O1375" s="368" t="s">
        <v>379</v>
      </c>
      <c r="P1375" s="367" t="str">
        <f>IF(J1375&gt;0,"Revenue",IF(J1375&lt;0,"Expense"))</f>
        <v>Expense</v>
      </c>
      <c r="Q1375" s="366" t="s">
        <v>379</v>
      </c>
      <c r="R1375" s="366" t="s">
        <v>2280</v>
      </c>
      <c r="S1375" s="366" t="s">
        <v>203</v>
      </c>
    </row>
    <row r="1376" spans="1:19" ht="12.75" customHeight="1" collapsed="1">
      <c r="J1376" s="413">
        <f>SUM(J1372:J1375)</f>
        <v>-8133045</v>
      </c>
    </row>
    <row r="1378" spans="1:19" ht="12.75" customHeight="1">
      <c r="A1378" s="378" t="s">
        <v>2281</v>
      </c>
    </row>
    <row r="1379" spans="1:19" ht="60" hidden="1" outlineLevel="1">
      <c r="B1379" s="384">
        <v>2025</v>
      </c>
      <c r="C1379" s="384">
        <v>6</v>
      </c>
      <c r="D1379" s="367" t="s">
        <v>5</v>
      </c>
      <c r="E1379" s="367" t="s">
        <v>6</v>
      </c>
      <c r="F1379" s="389" t="s">
        <v>2282</v>
      </c>
      <c r="G1379" s="385">
        <v>45645</v>
      </c>
      <c r="H1379" s="367" t="s">
        <v>14</v>
      </c>
      <c r="I1379" s="368" t="str">
        <f>VLOOKUP(H1379,'Source Codes'!A$2:B$115,2,FALSE)</f>
        <v>AP Warrant Issuance</v>
      </c>
      <c r="J1379" s="412">
        <v>-7047916.6699999999</v>
      </c>
      <c r="K1379" s="385">
        <v>45645</v>
      </c>
      <c r="L1379" s="387" t="s">
        <v>2327</v>
      </c>
      <c r="M1379" s="390">
        <v>45645.793819444443</v>
      </c>
      <c r="N1379" s="367" t="s">
        <v>372</v>
      </c>
      <c r="O1379" s="368" t="s">
        <v>358</v>
      </c>
      <c r="P1379" s="367" t="s">
        <v>2291</v>
      </c>
      <c r="Q1379" s="366" t="s">
        <v>2325</v>
      </c>
      <c r="R1379" s="393" t="s">
        <v>2326</v>
      </c>
      <c r="S1379" s="366">
        <v>536200</v>
      </c>
    </row>
    <row r="1380" spans="1:19" ht="30" hidden="1" outlineLevel="1">
      <c r="B1380" s="384">
        <v>2025</v>
      </c>
      <c r="C1380" s="384">
        <v>6</v>
      </c>
      <c r="D1380" s="367" t="s">
        <v>5</v>
      </c>
      <c r="E1380" s="367" t="s">
        <v>6</v>
      </c>
      <c r="F1380" s="389" t="s">
        <v>2283</v>
      </c>
      <c r="G1380" s="385">
        <v>45645</v>
      </c>
      <c r="H1380" s="367" t="s">
        <v>14</v>
      </c>
      <c r="I1380" s="368" t="str">
        <f>VLOOKUP(H1380,'Source Codes'!A$2:B$115,2,FALSE)</f>
        <v>AP Warrant Issuance</v>
      </c>
      <c r="J1380" s="412">
        <v>-1429482.44</v>
      </c>
      <c r="K1380" s="385">
        <v>45645</v>
      </c>
      <c r="L1380" s="387" t="s">
        <v>2307</v>
      </c>
      <c r="M1380" s="390">
        <v>45645.793819444443</v>
      </c>
      <c r="N1380" s="367" t="s">
        <v>356</v>
      </c>
      <c r="O1380" s="368" t="s">
        <v>357</v>
      </c>
      <c r="P1380" s="367" t="s">
        <v>2291</v>
      </c>
      <c r="Q1380" s="366" t="s">
        <v>2309</v>
      </c>
      <c r="R1380" s="393" t="s">
        <v>2310</v>
      </c>
      <c r="S1380" s="366" t="s">
        <v>303</v>
      </c>
    </row>
    <row r="1381" spans="1:19" ht="30" hidden="1" outlineLevel="1">
      <c r="B1381" s="384">
        <v>2025</v>
      </c>
      <c r="C1381" s="384">
        <v>6</v>
      </c>
      <c r="D1381" s="367" t="s">
        <v>5</v>
      </c>
      <c r="E1381" s="367" t="s">
        <v>6</v>
      </c>
      <c r="F1381" s="389" t="s">
        <v>2284</v>
      </c>
      <c r="G1381" s="385">
        <v>45637</v>
      </c>
      <c r="H1381" s="367" t="s">
        <v>11</v>
      </c>
      <c r="I1381" s="368" t="str">
        <f>VLOOKUP(H1381,'Source Codes'!A$2:B$115,2,FALSE)</f>
        <v>AR Payments</v>
      </c>
      <c r="J1381" s="412">
        <v>1985148.31</v>
      </c>
      <c r="K1381" s="385">
        <v>45645</v>
      </c>
      <c r="L1381" s="387" t="s">
        <v>2292</v>
      </c>
      <c r="M1381" s="390">
        <v>45645.752002314817</v>
      </c>
      <c r="N1381" s="367" t="s">
        <v>356</v>
      </c>
      <c r="O1381" s="368" t="s">
        <v>357</v>
      </c>
      <c r="P1381" s="381" t="s">
        <v>2290</v>
      </c>
      <c r="Q1381" s="366" t="s">
        <v>2157</v>
      </c>
      <c r="R1381" s="393" t="s">
        <v>2157</v>
      </c>
      <c r="S1381" s="366" t="s">
        <v>2278</v>
      </c>
    </row>
    <row r="1382" spans="1:19" ht="30" hidden="1" outlineLevel="1">
      <c r="B1382" s="384">
        <v>2025</v>
      </c>
      <c r="C1382" s="384">
        <v>6</v>
      </c>
      <c r="D1382" s="367" t="s">
        <v>5</v>
      </c>
      <c r="E1382" s="367" t="s">
        <v>6</v>
      </c>
      <c r="F1382" s="389" t="s">
        <v>2285</v>
      </c>
      <c r="G1382" s="385">
        <v>45644</v>
      </c>
      <c r="H1382" s="367" t="s">
        <v>11</v>
      </c>
      <c r="I1382" s="368" t="str">
        <f>VLOOKUP(H1382,'Source Codes'!A$2:B$115,2,FALSE)</f>
        <v>AR Payments</v>
      </c>
      <c r="J1382" s="412">
        <v>2242807.3199999998</v>
      </c>
      <c r="K1382" s="385">
        <v>45645</v>
      </c>
      <c r="L1382" s="387" t="s">
        <v>2294</v>
      </c>
      <c r="M1382" s="390">
        <v>45645.752002314817</v>
      </c>
      <c r="N1382" s="367" t="s">
        <v>356</v>
      </c>
      <c r="O1382" s="368" t="s">
        <v>357</v>
      </c>
      <c r="P1382" s="381" t="s">
        <v>2290</v>
      </c>
      <c r="Q1382" s="366" t="s">
        <v>2157</v>
      </c>
      <c r="R1382" s="393" t="s">
        <v>2157</v>
      </c>
      <c r="S1382" s="366" t="s">
        <v>2293</v>
      </c>
    </row>
    <row r="1383" spans="1:19" ht="30" hidden="1" outlineLevel="1">
      <c r="B1383" s="384">
        <v>2025</v>
      </c>
      <c r="C1383" s="384">
        <v>6</v>
      </c>
      <c r="D1383" s="367" t="s">
        <v>5</v>
      </c>
      <c r="E1383" s="367" t="s">
        <v>6</v>
      </c>
      <c r="F1383" s="389" t="s">
        <v>2286</v>
      </c>
      <c r="G1383" s="385">
        <v>45636</v>
      </c>
      <c r="H1383" s="367" t="s">
        <v>8</v>
      </c>
      <c r="I1383" s="368" t="str">
        <f>VLOOKUP(H1383,'Source Codes'!A$2:B$115,2,FALSE)</f>
        <v>Prch,Cntrl Mail,Flt,Prntg,Sply</v>
      </c>
      <c r="J1383" s="412">
        <v>-2009519.93</v>
      </c>
      <c r="K1383" s="385">
        <v>45646</v>
      </c>
      <c r="L1383" s="377" t="s">
        <v>2288</v>
      </c>
      <c r="M1383" s="390">
        <v>45645.636354166665</v>
      </c>
      <c r="N1383" s="367" t="s">
        <v>356</v>
      </c>
      <c r="O1383" s="368" t="s">
        <v>382</v>
      </c>
      <c r="P1383" s="367" t="s">
        <v>2291</v>
      </c>
      <c r="Q1383" s="366" t="s">
        <v>2328</v>
      </c>
      <c r="R1383" s="393" t="s">
        <v>2329</v>
      </c>
      <c r="S1383" s="366">
        <v>527690</v>
      </c>
    </row>
    <row r="1384" spans="1:19" ht="15" hidden="1" outlineLevel="1">
      <c r="B1384" s="384">
        <v>2025</v>
      </c>
      <c r="C1384" s="384">
        <v>6</v>
      </c>
      <c r="D1384" s="367" t="s">
        <v>5</v>
      </c>
      <c r="E1384" s="367" t="s">
        <v>6</v>
      </c>
      <c r="F1384" s="389" t="s">
        <v>2289</v>
      </c>
      <c r="G1384" s="385">
        <v>45637</v>
      </c>
      <c r="H1384" s="367" t="s">
        <v>7</v>
      </c>
      <c r="I1384" s="368" t="str">
        <f>VLOOKUP(H1384,'Source Codes'!A$2:B$115,2,FALSE)</f>
        <v>HRMS Interface Journals</v>
      </c>
      <c r="J1384" s="412">
        <v>-71183835.359999999</v>
      </c>
      <c r="K1384" s="385">
        <v>45647</v>
      </c>
      <c r="L1384" s="380" t="s">
        <v>2287</v>
      </c>
      <c r="M1384" s="390">
        <v>45645.309965277775</v>
      </c>
      <c r="N1384" s="367" t="s">
        <v>365</v>
      </c>
      <c r="O1384" s="368" t="s">
        <v>371</v>
      </c>
      <c r="P1384" s="367" t="s">
        <v>2291</v>
      </c>
      <c r="Q1384" s="366" t="s">
        <v>379</v>
      </c>
      <c r="R1384" s="366" t="s">
        <v>2280</v>
      </c>
      <c r="S1384" s="366" t="s">
        <v>203</v>
      </c>
    </row>
    <row r="1385" spans="1:19" ht="12.75" customHeight="1" collapsed="1">
      <c r="J1385" s="413">
        <f>SUM(J1379:J1384)</f>
        <v>-77442798.769999996</v>
      </c>
    </row>
    <row r="1387" spans="1:19" ht="12.75" customHeight="1">
      <c r="A1387" s="378" t="s">
        <v>2295</v>
      </c>
    </row>
    <row r="1388" spans="1:19" ht="30" hidden="1" outlineLevel="1">
      <c r="B1388" s="384">
        <v>2025</v>
      </c>
      <c r="C1388" s="384">
        <v>6</v>
      </c>
      <c r="D1388" s="367" t="s">
        <v>5</v>
      </c>
      <c r="E1388" s="367" t="s">
        <v>6</v>
      </c>
      <c r="F1388" s="389" t="s">
        <v>2296</v>
      </c>
      <c r="G1388" s="385">
        <v>45643</v>
      </c>
      <c r="H1388" s="367" t="s">
        <v>11</v>
      </c>
      <c r="I1388" s="368" t="str">
        <f>VLOOKUP(H1388,'Source Codes'!A$2:B$115,2,FALSE)</f>
        <v>AR Payments</v>
      </c>
      <c r="J1388" s="412">
        <v>1174412.7</v>
      </c>
      <c r="K1388" s="385">
        <v>45646</v>
      </c>
      <c r="L1388" s="387" t="s">
        <v>2302</v>
      </c>
      <c r="M1388" s="390">
        <v>45646.751979166664</v>
      </c>
      <c r="N1388" s="367" t="s">
        <v>356</v>
      </c>
      <c r="O1388" s="368" t="s">
        <v>357</v>
      </c>
      <c r="P1388" s="367" t="str">
        <f>IF(J1388&gt;0,"Revenue",IF(J1388&lt;0,"Expense"))</f>
        <v>Revenue</v>
      </c>
      <c r="Q1388" s="366" t="s">
        <v>2157</v>
      </c>
      <c r="R1388" s="393" t="s">
        <v>2157</v>
      </c>
      <c r="S1388" s="366" t="s">
        <v>2278</v>
      </c>
    </row>
    <row r="1389" spans="1:19" ht="30" hidden="1" outlineLevel="1">
      <c r="B1389" s="384">
        <v>2025</v>
      </c>
      <c r="C1389" s="384">
        <v>6</v>
      </c>
      <c r="D1389" s="367" t="s">
        <v>5</v>
      </c>
      <c r="E1389" s="367" t="s">
        <v>6</v>
      </c>
      <c r="F1389" s="389" t="s">
        <v>2297</v>
      </c>
      <c r="G1389" s="385">
        <v>45644</v>
      </c>
      <c r="H1389" s="367" t="s">
        <v>9</v>
      </c>
      <c r="I1389" s="368" t="str">
        <f>VLOOKUP(H1389,'Source Codes'!A$2:B$115,2,FALSE)</f>
        <v>On Line Journal Entries</v>
      </c>
      <c r="J1389" s="412">
        <v>7779851</v>
      </c>
      <c r="K1389" s="385">
        <v>45646</v>
      </c>
      <c r="L1389" s="387" t="s">
        <v>2299</v>
      </c>
      <c r="M1389" s="390">
        <v>45646.869652777779</v>
      </c>
      <c r="N1389" s="367" t="s">
        <v>387</v>
      </c>
      <c r="O1389" s="368" t="s">
        <v>371</v>
      </c>
      <c r="P1389" s="367" t="str">
        <f>IF(J1389&gt;0,"Revenue",IF(J1389&lt;0,"Expense"))</f>
        <v>Revenue</v>
      </c>
      <c r="Q1389" s="366" t="s">
        <v>2301</v>
      </c>
      <c r="R1389" s="366" t="s">
        <v>2301</v>
      </c>
      <c r="S1389" s="366">
        <v>777580</v>
      </c>
    </row>
    <row r="1390" spans="1:19" ht="30" hidden="1" outlineLevel="1">
      <c r="B1390" s="384">
        <v>2025</v>
      </c>
      <c r="C1390" s="384">
        <v>6</v>
      </c>
      <c r="D1390" s="367" t="s">
        <v>5</v>
      </c>
      <c r="E1390" s="367" t="s">
        <v>6</v>
      </c>
      <c r="F1390" s="389" t="s">
        <v>2298</v>
      </c>
      <c r="G1390" s="385">
        <v>45643</v>
      </c>
      <c r="H1390" s="367" t="s">
        <v>9</v>
      </c>
      <c r="I1390" s="368" t="str">
        <f>VLOOKUP(H1390,'Source Codes'!A$2:B$115,2,FALSE)</f>
        <v>On Line Journal Entries</v>
      </c>
      <c r="J1390" s="412">
        <v>3237607</v>
      </c>
      <c r="K1390" s="385">
        <v>45646</v>
      </c>
      <c r="L1390" s="387" t="s">
        <v>2300</v>
      </c>
      <c r="M1390" s="390">
        <v>45646.869652777779</v>
      </c>
      <c r="N1390" s="367" t="s">
        <v>387</v>
      </c>
      <c r="O1390" s="368" t="s">
        <v>371</v>
      </c>
      <c r="P1390" s="367" t="str">
        <f>IF(J1390&gt;0,"Revenue",IF(J1390&lt;0,"Expense"))</f>
        <v>Revenue</v>
      </c>
      <c r="Q1390" s="366" t="s">
        <v>2301</v>
      </c>
      <c r="R1390" s="366" t="s">
        <v>2301</v>
      </c>
      <c r="S1390" s="366">
        <v>778040</v>
      </c>
    </row>
    <row r="1391" spans="1:19" ht="12.75" customHeight="1" collapsed="1">
      <c r="J1391" s="413">
        <f>SUM(J1388:J1390)</f>
        <v>12191870.699999999</v>
      </c>
    </row>
    <row r="1393" spans="1:19" ht="12.75" customHeight="1">
      <c r="A1393" s="378" t="s">
        <v>2303</v>
      </c>
    </row>
    <row r="1394" spans="1:19" ht="30" hidden="1" outlineLevel="1">
      <c r="B1394" s="384">
        <v>2025</v>
      </c>
      <c r="C1394" s="384">
        <v>6</v>
      </c>
      <c r="D1394" s="367" t="s">
        <v>5</v>
      </c>
      <c r="E1394" s="367" t="s">
        <v>6</v>
      </c>
      <c r="F1394" s="389" t="s">
        <v>2304</v>
      </c>
      <c r="G1394" s="385">
        <v>45649</v>
      </c>
      <c r="H1394" s="367" t="s">
        <v>14</v>
      </c>
      <c r="I1394" s="368" t="str">
        <f>VLOOKUP(H1394,'Source Codes'!A$2:B$115,2,FALSE)</f>
        <v>AP Warrant Issuance</v>
      </c>
      <c r="J1394" s="412">
        <v>-1373801.37</v>
      </c>
      <c r="K1394" s="385">
        <v>45649</v>
      </c>
      <c r="L1394" s="387" t="s">
        <v>2308</v>
      </c>
      <c r="M1394" s="390">
        <v>45649.793726851851</v>
      </c>
      <c r="N1394" s="367" t="s">
        <v>356</v>
      </c>
      <c r="O1394" s="368" t="s">
        <v>357</v>
      </c>
      <c r="P1394" s="367" t="str">
        <f>IF(J1394&gt;0,"Revenue",IF(J1394&lt;0,"Expense"))</f>
        <v>Expense</v>
      </c>
      <c r="Q1394" s="366" t="s">
        <v>2309</v>
      </c>
      <c r="R1394" s="366" t="s">
        <v>2310</v>
      </c>
      <c r="S1394" s="366" t="s">
        <v>303</v>
      </c>
    </row>
    <row r="1395" spans="1:19" ht="30" hidden="1" outlineLevel="1">
      <c r="B1395" s="384">
        <v>2025</v>
      </c>
      <c r="C1395" s="384">
        <v>6</v>
      </c>
      <c r="D1395" s="367" t="s">
        <v>5</v>
      </c>
      <c r="E1395" s="367" t="s">
        <v>6</v>
      </c>
      <c r="F1395" s="389" t="s">
        <v>2305</v>
      </c>
      <c r="G1395" s="385">
        <v>45645</v>
      </c>
      <c r="H1395" s="367" t="s">
        <v>16</v>
      </c>
      <c r="I1395" s="368" t="str">
        <f>VLOOKUP(H1395,'Source Codes'!A$2:B$115,2,FALSE)</f>
        <v>Property Tax Interface</v>
      </c>
      <c r="J1395" s="412">
        <v>1143080.97</v>
      </c>
      <c r="K1395" s="385">
        <v>45649</v>
      </c>
      <c r="L1395" s="387" t="s">
        <v>2306</v>
      </c>
      <c r="M1395" s="390">
        <v>45649.462800925925</v>
      </c>
      <c r="N1395" s="367" t="s">
        <v>387</v>
      </c>
      <c r="O1395" s="368" t="s">
        <v>384</v>
      </c>
      <c r="P1395" s="367" t="str">
        <f>IF(J1395&gt;0,"Revenue",IF(J1395&lt;0,"Expense"))</f>
        <v>Revenue</v>
      </c>
      <c r="Q1395" s="366" t="s">
        <v>2311</v>
      </c>
      <c r="R1395" s="366" t="s">
        <v>2312</v>
      </c>
      <c r="S1395" s="366" t="s">
        <v>2313</v>
      </c>
    </row>
    <row r="1396" spans="1:19" ht="12.75" customHeight="1" collapsed="1">
      <c r="J1396" s="413">
        <f>SUM(J1394:J1395)</f>
        <v>-230720.40000000014</v>
      </c>
    </row>
    <row r="1398" spans="1:19" ht="12.75" customHeight="1">
      <c r="A1398" s="378" t="s">
        <v>2314</v>
      </c>
    </row>
    <row r="1399" spans="1:19" ht="45" hidden="1" outlineLevel="1">
      <c r="B1399" s="384">
        <v>2025</v>
      </c>
      <c r="C1399" s="384">
        <v>6</v>
      </c>
      <c r="D1399" s="367" t="s">
        <v>5</v>
      </c>
      <c r="E1399" s="367" t="s">
        <v>6</v>
      </c>
      <c r="F1399" s="389" t="s">
        <v>2315</v>
      </c>
      <c r="G1399" s="385">
        <v>45650</v>
      </c>
      <c r="H1399" s="367" t="s">
        <v>12</v>
      </c>
      <c r="I1399" s="368" t="str">
        <f>VLOOKUP(H1399,'Source Codes'!A$2:B$115,2,FALSE)</f>
        <v>AR Direct Cash Journal</v>
      </c>
      <c r="J1399" s="412">
        <v>3771687.21</v>
      </c>
      <c r="K1399" s="385">
        <v>45650</v>
      </c>
      <c r="L1399" s="387" t="s">
        <v>2318</v>
      </c>
      <c r="M1399" s="390">
        <v>45650.751967592594</v>
      </c>
      <c r="N1399" s="367" t="s">
        <v>356</v>
      </c>
      <c r="O1399" s="368" t="s">
        <v>371</v>
      </c>
      <c r="P1399" s="367" t="str">
        <f>IF(J1399&gt;0,"Revenue",IF(J1399&lt;0,"Expense"))</f>
        <v>Revenue</v>
      </c>
      <c r="Q1399" s="366" t="s">
        <v>2316</v>
      </c>
      <c r="R1399" s="366" t="s">
        <v>2317</v>
      </c>
      <c r="S1399" s="366">
        <v>710020</v>
      </c>
    </row>
    <row r="1400" spans="1:19" ht="12.75" customHeight="1" collapsed="1">
      <c r="J1400" s="413">
        <f>SUM(J1399)</f>
        <v>3771687.21</v>
      </c>
    </row>
    <row r="1402" spans="1:19" ht="12.75" customHeight="1">
      <c r="A1402" s="378" t="s">
        <v>2319</v>
      </c>
    </row>
    <row r="1403" spans="1:19" ht="30" hidden="1" outlineLevel="1">
      <c r="B1403" s="384">
        <v>2025</v>
      </c>
      <c r="C1403" s="384">
        <v>6</v>
      </c>
      <c r="D1403" s="367" t="s">
        <v>5</v>
      </c>
      <c r="E1403" s="367" t="s">
        <v>6</v>
      </c>
      <c r="F1403" s="389" t="s">
        <v>2320</v>
      </c>
      <c r="G1403" s="385">
        <v>45656</v>
      </c>
      <c r="H1403" s="367" t="s">
        <v>14</v>
      </c>
      <c r="I1403" s="368" t="str">
        <f>VLOOKUP(H1403,'Source Codes'!A$2:B$115,2,FALSE)</f>
        <v>AP Warrant Issuance</v>
      </c>
      <c r="J1403" s="412">
        <v>-1050175.47</v>
      </c>
      <c r="K1403" s="385">
        <v>45652</v>
      </c>
      <c r="L1403" s="387" t="s">
        <v>2330</v>
      </c>
      <c r="M1403" s="390">
        <v>45652.793935185182</v>
      </c>
      <c r="N1403" s="367" t="s">
        <v>356</v>
      </c>
      <c r="O1403" s="368" t="s">
        <v>368</v>
      </c>
      <c r="P1403" s="367" t="str">
        <f>IF(J1403&gt;0,"Revenue",IF(J1403&lt;0,"Expense"))</f>
        <v>Expense</v>
      </c>
      <c r="Q1403" s="366" t="s">
        <v>2154</v>
      </c>
      <c r="R1403" s="366" t="s">
        <v>2154</v>
      </c>
      <c r="S1403" s="366" t="s">
        <v>203</v>
      </c>
    </row>
    <row r="1404" spans="1:19" ht="30" hidden="1" outlineLevel="1">
      <c r="B1404" s="384">
        <v>2025</v>
      </c>
      <c r="C1404" s="384">
        <v>6</v>
      </c>
      <c r="D1404" s="367" t="s">
        <v>5</v>
      </c>
      <c r="E1404" s="367" t="s">
        <v>6</v>
      </c>
      <c r="F1404" s="389" t="s">
        <v>2321</v>
      </c>
      <c r="G1404" s="385">
        <v>45649</v>
      </c>
      <c r="H1404" s="367" t="s">
        <v>12</v>
      </c>
      <c r="I1404" s="368" t="str">
        <f>VLOOKUP(H1404,'Source Codes'!A$2:B$115,2,FALSE)</f>
        <v>AR Direct Cash Journal</v>
      </c>
      <c r="J1404" s="412">
        <v>5846522.5099999998</v>
      </c>
      <c r="K1404" s="385">
        <v>45652</v>
      </c>
      <c r="L1404" s="387" t="s">
        <v>2331</v>
      </c>
      <c r="M1404" s="390">
        <v>45652.751944444448</v>
      </c>
      <c r="N1404" s="367" t="s">
        <v>356</v>
      </c>
      <c r="O1404" s="368" t="s">
        <v>368</v>
      </c>
      <c r="P1404" s="367" t="str">
        <f>IF(J1404&gt;0,"Revenue",IF(J1404&lt;0,"Expense"))</f>
        <v>Revenue</v>
      </c>
      <c r="Q1404" s="366" t="s">
        <v>2177</v>
      </c>
      <c r="R1404" s="366" t="s">
        <v>2214</v>
      </c>
      <c r="S1404" s="366" t="s">
        <v>2332</v>
      </c>
    </row>
    <row r="1405" spans="1:19" ht="15" hidden="1" outlineLevel="1">
      <c r="B1405" s="384">
        <v>2025</v>
      </c>
      <c r="C1405" s="384">
        <v>6</v>
      </c>
      <c r="D1405" s="367" t="s">
        <v>5</v>
      </c>
      <c r="E1405" s="367" t="s">
        <v>6</v>
      </c>
      <c r="F1405" s="389" t="s">
        <v>2322</v>
      </c>
      <c r="G1405" s="385">
        <v>45652</v>
      </c>
      <c r="H1405" s="367" t="s">
        <v>7</v>
      </c>
      <c r="I1405" s="368" t="str">
        <f>VLOOKUP(H1405,'Source Codes'!A$2:B$115,2,FALSE)</f>
        <v>HRMS Interface Journals</v>
      </c>
      <c r="J1405" s="412">
        <v>-1168711.3500000001</v>
      </c>
      <c r="K1405" s="385">
        <v>45652</v>
      </c>
      <c r="L1405" s="387" t="s">
        <v>406</v>
      </c>
      <c r="M1405" s="390">
        <v>45652.487002314818</v>
      </c>
      <c r="N1405" s="367" t="s">
        <v>378</v>
      </c>
      <c r="O1405" s="368" t="s">
        <v>371</v>
      </c>
      <c r="P1405" s="367" t="str">
        <f>IF(J1405&gt;0,"Revenue",IF(J1405&lt;0,"Expense"))</f>
        <v>Expense</v>
      </c>
      <c r="Q1405" s="366" t="s">
        <v>379</v>
      </c>
      <c r="R1405" s="366" t="s">
        <v>2333</v>
      </c>
      <c r="S1405" s="366" t="s">
        <v>203</v>
      </c>
    </row>
    <row r="1406" spans="1:19" ht="30" hidden="1" outlineLevel="1">
      <c r="B1406" s="384">
        <v>2025</v>
      </c>
      <c r="C1406" s="384">
        <v>6</v>
      </c>
      <c r="D1406" s="367" t="s">
        <v>5</v>
      </c>
      <c r="E1406" s="367" t="s">
        <v>6</v>
      </c>
      <c r="F1406" s="389" t="s">
        <v>2323</v>
      </c>
      <c r="G1406" s="385">
        <v>45645</v>
      </c>
      <c r="H1406" s="367" t="s">
        <v>9</v>
      </c>
      <c r="I1406" s="368" t="str">
        <f>VLOOKUP(H1406,'Source Codes'!A$2:B$115,2,FALSE)</f>
        <v>On Line Journal Entries</v>
      </c>
      <c r="J1406" s="412">
        <v>-2000000</v>
      </c>
      <c r="K1406" s="385">
        <v>45652</v>
      </c>
      <c r="L1406" s="387" t="s">
        <v>2335</v>
      </c>
      <c r="M1406" s="390">
        <v>45652.870034722226</v>
      </c>
      <c r="N1406" s="367" t="s">
        <v>2185</v>
      </c>
      <c r="O1406" s="368" t="s">
        <v>367</v>
      </c>
      <c r="P1406" s="367" t="str">
        <f>IF(J1406&gt;0,"Revenue",IF(J1406&lt;0,"Expense"))</f>
        <v>Expense</v>
      </c>
      <c r="Q1406" s="366" t="s">
        <v>2237</v>
      </c>
      <c r="R1406" s="366" t="s">
        <v>2334</v>
      </c>
      <c r="S1406" s="366">
        <v>526700</v>
      </c>
    </row>
    <row r="1407" spans="1:19" ht="30" hidden="1" outlineLevel="1">
      <c r="B1407" s="384">
        <v>2025</v>
      </c>
      <c r="C1407" s="384">
        <v>6</v>
      </c>
      <c r="D1407" s="367" t="s">
        <v>5</v>
      </c>
      <c r="E1407" s="367" t="s">
        <v>6</v>
      </c>
      <c r="F1407" s="389" t="s">
        <v>2324</v>
      </c>
      <c r="G1407" s="385">
        <v>45639</v>
      </c>
      <c r="H1407" s="367" t="s">
        <v>337</v>
      </c>
      <c r="I1407" s="368" t="str">
        <f>VLOOKUP(H1407,'Source Codes'!A$2:B$115,2,FALSE)</f>
        <v>Facilities Mngmnt Intfc Jrnls</v>
      </c>
      <c r="J1407" s="412">
        <v>-2388276.35</v>
      </c>
      <c r="K1407" s="385">
        <v>45652</v>
      </c>
      <c r="L1407" s="387" t="s">
        <v>2336</v>
      </c>
      <c r="M1407" s="390">
        <v>45652.870138888888</v>
      </c>
      <c r="N1407" s="367" t="s">
        <v>356</v>
      </c>
      <c r="O1407" s="368" t="s">
        <v>367</v>
      </c>
      <c r="P1407" s="367" t="str">
        <f>IF(J1407&gt;0,"Revenue",IF(J1407&lt;0,"Expense"))</f>
        <v>Expense</v>
      </c>
      <c r="Q1407" s="366" t="s">
        <v>2337</v>
      </c>
      <c r="R1407" s="366" t="s">
        <v>2338</v>
      </c>
      <c r="S1407" s="366">
        <v>522385</v>
      </c>
    </row>
    <row r="1408" spans="1:19" ht="12.75" customHeight="1" collapsed="1">
      <c r="J1408" s="413">
        <f>SUM(J1403:J1407)</f>
        <v>-760640.66000000015</v>
      </c>
    </row>
    <row r="1410" spans="1:19" ht="12.75" customHeight="1">
      <c r="A1410" s="378" t="s">
        <v>2339</v>
      </c>
    </row>
    <row r="1411" spans="1:19" ht="30" hidden="1" outlineLevel="1">
      <c r="B1411" s="384">
        <v>2025</v>
      </c>
      <c r="C1411" s="384">
        <v>6</v>
      </c>
      <c r="D1411" s="367" t="s">
        <v>5</v>
      </c>
      <c r="E1411" s="367" t="s">
        <v>6</v>
      </c>
      <c r="F1411" s="389" t="s">
        <v>2340</v>
      </c>
      <c r="G1411" s="385">
        <v>45653</v>
      </c>
      <c r="H1411" s="367" t="s">
        <v>14</v>
      </c>
      <c r="I1411" s="368" t="str">
        <f>VLOOKUP(H1411,'Source Codes'!A$2:B$115,2,FALSE)</f>
        <v>AP Warrant Issuance</v>
      </c>
      <c r="J1411" s="412">
        <v>-1035602.59</v>
      </c>
      <c r="K1411" s="385">
        <v>45653</v>
      </c>
      <c r="L1411" s="387" t="s">
        <v>2343</v>
      </c>
      <c r="M1411" s="390">
        <v>45653.794016203705</v>
      </c>
      <c r="N1411" s="367" t="s">
        <v>356</v>
      </c>
      <c r="O1411" s="368" t="s">
        <v>364</v>
      </c>
      <c r="P1411" s="367" t="str">
        <f>IF(J1411&gt;0,"Revenue",IF(J1411&lt;0,"Expense"))</f>
        <v>Expense</v>
      </c>
      <c r="Q1411" s="366" t="s">
        <v>2344</v>
      </c>
      <c r="R1411" s="366" t="s">
        <v>2344</v>
      </c>
      <c r="S1411" s="366" t="s">
        <v>203</v>
      </c>
    </row>
    <row r="1412" spans="1:19" ht="30" hidden="1" outlineLevel="1">
      <c r="B1412" s="384">
        <v>2025</v>
      </c>
      <c r="C1412" s="384">
        <v>6</v>
      </c>
      <c r="D1412" s="367" t="s">
        <v>5</v>
      </c>
      <c r="E1412" s="367" t="s">
        <v>6</v>
      </c>
      <c r="F1412" s="389" t="s">
        <v>2341</v>
      </c>
      <c r="G1412" s="385">
        <v>45653</v>
      </c>
      <c r="H1412" s="367" t="s">
        <v>12</v>
      </c>
      <c r="I1412" s="368" t="str">
        <f>VLOOKUP(H1412,'Source Codes'!A$2:B$115,2,FALSE)</f>
        <v>AR Direct Cash Journal</v>
      </c>
      <c r="J1412" s="412">
        <v>3997678.9</v>
      </c>
      <c r="K1412" s="385">
        <v>45653</v>
      </c>
      <c r="L1412" s="387" t="s">
        <v>2345</v>
      </c>
      <c r="M1412" s="390">
        <v>45653.751608796294</v>
      </c>
      <c r="N1412" s="367" t="s">
        <v>356</v>
      </c>
      <c r="O1412" s="368" t="s">
        <v>371</v>
      </c>
      <c r="P1412" s="367" t="str">
        <f>IF(J1412&gt;0,"Revenue",IF(J1412&lt;0,"Expense"))</f>
        <v>Revenue</v>
      </c>
      <c r="Q1412" s="366" t="s">
        <v>2346</v>
      </c>
      <c r="R1412" s="366" t="s">
        <v>2347</v>
      </c>
      <c r="S1412" s="366">
        <v>750250</v>
      </c>
    </row>
    <row r="1413" spans="1:19" ht="30" hidden="1" outlineLevel="1">
      <c r="B1413" s="384">
        <v>2025</v>
      </c>
      <c r="C1413" s="384">
        <v>6</v>
      </c>
      <c r="D1413" s="367" t="s">
        <v>5</v>
      </c>
      <c r="E1413" s="367" t="s">
        <v>6</v>
      </c>
      <c r="F1413" s="389" t="s">
        <v>2342</v>
      </c>
      <c r="G1413" s="385">
        <v>45650</v>
      </c>
      <c r="H1413" s="367" t="s">
        <v>12</v>
      </c>
      <c r="I1413" s="368" t="str">
        <f>VLOOKUP(H1413,'Source Codes'!A$2:B$115,2,FALSE)</f>
        <v>AR Direct Cash Journal</v>
      </c>
      <c r="J1413" s="412">
        <v>38446421.25</v>
      </c>
      <c r="K1413" s="385">
        <v>45653</v>
      </c>
      <c r="L1413" s="387" t="s">
        <v>2349</v>
      </c>
      <c r="M1413" s="390">
        <v>45653.751608796294</v>
      </c>
      <c r="N1413" s="367" t="s">
        <v>2185</v>
      </c>
      <c r="O1413" s="368" t="s">
        <v>368</v>
      </c>
      <c r="P1413" s="367" t="str">
        <f>IF(J1413&gt;0,"Revenue",IF(J1413&lt;0,"Expense"))</f>
        <v>Revenue</v>
      </c>
      <c r="Q1413" s="366" t="s">
        <v>2177</v>
      </c>
      <c r="R1413" s="366" t="s">
        <v>2214</v>
      </c>
      <c r="S1413" s="366" t="s">
        <v>2348</v>
      </c>
    </row>
    <row r="1414" spans="1:19" ht="12.75" customHeight="1" collapsed="1">
      <c r="J1414" s="413">
        <f>SUM(J1411:J1413)</f>
        <v>41408497.560000002</v>
      </c>
    </row>
    <row r="1416" spans="1:19" ht="12.75" customHeight="1">
      <c r="A1416" s="378" t="s">
        <v>2350</v>
      </c>
    </row>
    <row r="1417" spans="1:19" ht="30" hidden="1" outlineLevel="1">
      <c r="B1417" s="384">
        <v>2025</v>
      </c>
      <c r="C1417" s="384">
        <v>7</v>
      </c>
      <c r="D1417" s="367" t="s">
        <v>5</v>
      </c>
      <c r="E1417" s="367" t="s">
        <v>6</v>
      </c>
      <c r="F1417" s="389" t="s">
        <v>2351</v>
      </c>
      <c r="G1417" s="385">
        <v>45659</v>
      </c>
      <c r="H1417" s="367" t="s">
        <v>14</v>
      </c>
      <c r="I1417" s="368" t="str">
        <f>VLOOKUP(H1417,'Source Codes'!A$2:B$115,2,FALSE)</f>
        <v>AP Warrant Issuance</v>
      </c>
      <c r="J1417" s="412">
        <v>-1323910.72</v>
      </c>
      <c r="K1417" s="385">
        <v>45656</v>
      </c>
      <c r="L1417" s="387" t="s">
        <v>2356</v>
      </c>
      <c r="M1417" s="390">
        <v>45656.793657407405</v>
      </c>
      <c r="N1417" s="367" t="s">
        <v>356</v>
      </c>
      <c r="O1417" s="368" t="s">
        <v>368</v>
      </c>
      <c r="P1417" s="367" t="str">
        <f>IF(J1417&gt;0,"Revenue",IF(J1417&lt;0,"Expense"))</f>
        <v>Expense</v>
      </c>
      <c r="Q1417" s="366" t="s">
        <v>2154</v>
      </c>
      <c r="R1417" s="366" t="s">
        <v>2154</v>
      </c>
      <c r="S1417" s="366" t="s">
        <v>203</v>
      </c>
    </row>
    <row r="1418" spans="1:19" ht="30" hidden="1" outlineLevel="1">
      <c r="B1418" s="384">
        <v>2025</v>
      </c>
      <c r="C1418" s="384">
        <v>6</v>
      </c>
      <c r="D1418" s="367" t="s">
        <v>5</v>
      </c>
      <c r="E1418" s="367" t="s">
        <v>6</v>
      </c>
      <c r="F1418" s="389" t="s">
        <v>2352</v>
      </c>
      <c r="G1418" s="385">
        <v>45653</v>
      </c>
      <c r="H1418" s="367" t="s">
        <v>12</v>
      </c>
      <c r="I1418" s="368" t="str">
        <f>VLOOKUP(H1418,'Source Codes'!A$2:B$115,2,FALSE)</f>
        <v>AR Direct Cash Journal</v>
      </c>
      <c r="J1418" s="412">
        <v>10902449.949999999</v>
      </c>
      <c r="K1418" s="385">
        <v>45656</v>
      </c>
      <c r="L1418" s="387" t="s">
        <v>2358</v>
      </c>
      <c r="M1418" s="390">
        <v>45656.752222222225</v>
      </c>
      <c r="N1418" s="367" t="s">
        <v>356</v>
      </c>
      <c r="O1418" s="368" t="s">
        <v>368</v>
      </c>
      <c r="P1418" s="367" t="str">
        <f>IF(J1418&gt;0,"Revenue",IF(J1418&lt;0,"Expense"))</f>
        <v>Revenue</v>
      </c>
      <c r="Q1418" s="366" t="s">
        <v>2177</v>
      </c>
      <c r="R1418" s="366" t="s">
        <v>2214</v>
      </c>
      <c r="S1418" s="366" t="s">
        <v>2357</v>
      </c>
    </row>
    <row r="1419" spans="1:19" ht="30" hidden="1" outlineLevel="1">
      <c r="B1419" s="384">
        <v>2025</v>
      </c>
      <c r="C1419" s="384">
        <v>6</v>
      </c>
      <c r="D1419" s="367" t="s">
        <v>5</v>
      </c>
      <c r="E1419" s="367" t="s">
        <v>6</v>
      </c>
      <c r="F1419" s="389" t="s">
        <v>2353</v>
      </c>
      <c r="G1419" s="385">
        <v>45652</v>
      </c>
      <c r="H1419" s="367" t="s">
        <v>11</v>
      </c>
      <c r="I1419" s="368" t="str">
        <f>VLOOKUP(H1419,'Source Codes'!A$2:B$115,2,FALSE)</f>
        <v>AR Payments</v>
      </c>
      <c r="J1419" s="412">
        <v>1183542.1000000001</v>
      </c>
      <c r="K1419" s="385">
        <v>45656</v>
      </c>
      <c r="L1419" s="387" t="s">
        <v>2359</v>
      </c>
      <c r="M1419" s="390">
        <v>45656.752222222225</v>
      </c>
      <c r="N1419" s="367" t="s">
        <v>361</v>
      </c>
      <c r="O1419" s="368" t="s">
        <v>362</v>
      </c>
      <c r="P1419" s="367" t="str">
        <f>IF(J1419&gt;0,"Revenue",IF(J1419&lt;0,"Expense"))</f>
        <v>Revenue</v>
      </c>
      <c r="Q1419" s="366" t="s">
        <v>2360</v>
      </c>
      <c r="R1419" s="366" t="s">
        <v>2362</v>
      </c>
      <c r="S1419" s="366" t="s">
        <v>2361</v>
      </c>
    </row>
    <row r="1420" spans="1:19" ht="15" hidden="1" outlineLevel="1">
      <c r="B1420" s="384">
        <v>2025</v>
      </c>
      <c r="C1420" s="384">
        <v>6</v>
      </c>
      <c r="D1420" s="367" t="s">
        <v>5</v>
      </c>
      <c r="E1420" s="367" t="s">
        <v>6</v>
      </c>
      <c r="F1420" s="389" t="s">
        <v>2354</v>
      </c>
      <c r="G1420" s="385">
        <v>45656</v>
      </c>
      <c r="H1420" s="367" t="s">
        <v>110</v>
      </c>
      <c r="I1420" s="368" t="str">
        <f>VLOOKUP(H1420,'Source Codes'!A$2:B$115,2,FALSE)</f>
        <v>Treasurers Interest Apportion</v>
      </c>
      <c r="J1420" s="412">
        <v>14351371.43</v>
      </c>
      <c r="K1420" s="385">
        <v>45656</v>
      </c>
      <c r="L1420" s="387" t="s">
        <v>2355</v>
      </c>
      <c r="M1420" s="390">
        <v>45656.466435185182</v>
      </c>
      <c r="N1420" s="367" t="s">
        <v>361</v>
      </c>
      <c r="O1420" s="368" t="s">
        <v>371</v>
      </c>
      <c r="P1420" s="367" t="str">
        <f>IF(J1420&gt;0,"Revenue",IF(J1420&lt;0,"Expense"))</f>
        <v>Revenue</v>
      </c>
      <c r="Q1420" s="366" t="s">
        <v>2363</v>
      </c>
      <c r="R1420" s="366" t="s">
        <v>2364</v>
      </c>
      <c r="S1420" s="366">
        <v>740020</v>
      </c>
    </row>
    <row r="1421" spans="1:19" ht="12.75" customHeight="1" collapsed="1">
      <c r="J1421" s="413">
        <f>SUM(J1417:J1420)</f>
        <v>25113452.759999998</v>
      </c>
    </row>
    <row r="1423" spans="1:19" ht="12.75" customHeight="1">
      <c r="A1423" s="378" t="s">
        <v>2365</v>
      </c>
    </row>
    <row r="1424" spans="1:19" ht="30" hidden="1" outlineLevel="1">
      <c r="B1424" s="384">
        <v>2025</v>
      </c>
      <c r="C1424" s="384">
        <v>6</v>
      </c>
      <c r="D1424" s="367" t="s">
        <v>5</v>
      </c>
      <c r="E1424" s="367" t="s">
        <v>6</v>
      </c>
      <c r="F1424" s="389" t="s">
        <v>2367</v>
      </c>
      <c r="G1424" s="385">
        <v>45657</v>
      </c>
      <c r="H1424" s="367" t="s">
        <v>14</v>
      </c>
      <c r="I1424" s="368" t="str">
        <f>VLOOKUP(H1424,'Source Codes'!A$2:B$115,2,FALSE)</f>
        <v>AP Warrant Issuance</v>
      </c>
      <c r="J1424" s="412">
        <v>-1183173.6499999999</v>
      </c>
      <c r="K1424" s="385">
        <v>45657</v>
      </c>
      <c r="L1424" s="387" t="s">
        <v>2368</v>
      </c>
      <c r="M1424" s="390">
        <v>45657.793622685182</v>
      </c>
      <c r="N1424" s="367" t="s">
        <v>356</v>
      </c>
      <c r="O1424" s="368" t="s">
        <v>357</v>
      </c>
      <c r="P1424" s="367" t="str">
        <f t="shared" ref="P1424:P1436" si="2">IF(J1424&gt;0,"Revenue",IF(J1424&lt;0,"Expense"))</f>
        <v>Expense</v>
      </c>
      <c r="Q1424" s="366" t="s">
        <v>2309</v>
      </c>
      <c r="R1424" s="366" t="s">
        <v>2310</v>
      </c>
      <c r="S1424" s="366" t="s">
        <v>303</v>
      </c>
    </row>
    <row r="1425" spans="1:19" ht="30" hidden="1" outlineLevel="1">
      <c r="B1425" s="384">
        <v>2025</v>
      </c>
      <c r="C1425" s="384">
        <v>6</v>
      </c>
      <c r="D1425" s="367" t="s">
        <v>5</v>
      </c>
      <c r="E1425" s="367" t="s">
        <v>6</v>
      </c>
      <c r="F1425" s="389" t="s">
        <v>2369</v>
      </c>
      <c r="G1425" s="385">
        <v>45650</v>
      </c>
      <c r="H1425" s="367" t="s">
        <v>9</v>
      </c>
      <c r="I1425" s="368" t="str">
        <f>VLOOKUP(H1425,'Source Codes'!A$2:B$115,2,FALSE)</f>
        <v>On Line Journal Entries</v>
      </c>
      <c r="J1425" s="412">
        <v>26632720</v>
      </c>
      <c r="K1425" s="385">
        <v>45657</v>
      </c>
      <c r="L1425" s="387" t="s">
        <v>10</v>
      </c>
      <c r="M1425" s="390">
        <v>45657.871261574073</v>
      </c>
      <c r="N1425" s="367" t="s">
        <v>356</v>
      </c>
      <c r="O1425" s="368" t="s">
        <v>364</v>
      </c>
      <c r="P1425" s="367" t="str">
        <f t="shared" si="2"/>
        <v>Revenue</v>
      </c>
      <c r="Q1425" s="366" t="s">
        <v>2232</v>
      </c>
      <c r="R1425" s="366" t="s">
        <v>2232</v>
      </c>
      <c r="S1425" s="366" t="s">
        <v>2233</v>
      </c>
    </row>
    <row r="1426" spans="1:19" ht="30" hidden="1" outlineLevel="1">
      <c r="B1426" s="384">
        <v>2025</v>
      </c>
      <c r="C1426" s="384">
        <v>6</v>
      </c>
      <c r="D1426" s="367" t="s">
        <v>5</v>
      </c>
      <c r="E1426" s="367" t="s">
        <v>6</v>
      </c>
      <c r="F1426" s="389" t="s">
        <v>2370</v>
      </c>
      <c r="G1426" s="385">
        <v>45645</v>
      </c>
      <c r="H1426" s="367" t="s">
        <v>9</v>
      </c>
      <c r="I1426" s="368" t="str">
        <f>VLOOKUP(H1426,'Source Codes'!A$2:B$115,2,FALSE)</f>
        <v>On Line Journal Entries</v>
      </c>
      <c r="J1426" s="412">
        <v>9485090</v>
      </c>
      <c r="K1426" s="385">
        <v>45657</v>
      </c>
      <c r="L1426" s="387" t="s">
        <v>344</v>
      </c>
      <c r="M1426" s="390">
        <v>45657.871261574073</v>
      </c>
      <c r="N1426" s="367" t="s">
        <v>356</v>
      </c>
      <c r="O1426" s="368" t="s">
        <v>364</v>
      </c>
      <c r="P1426" s="367" t="str">
        <f t="shared" si="2"/>
        <v>Revenue</v>
      </c>
      <c r="Q1426" s="366" t="s">
        <v>2232</v>
      </c>
      <c r="R1426" s="366" t="s">
        <v>2232</v>
      </c>
      <c r="S1426" s="366" t="s">
        <v>2391</v>
      </c>
    </row>
    <row r="1427" spans="1:19" ht="30" hidden="1" outlineLevel="1">
      <c r="B1427" s="384">
        <v>2025</v>
      </c>
      <c r="C1427" s="384">
        <v>6</v>
      </c>
      <c r="D1427" s="367" t="s">
        <v>5</v>
      </c>
      <c r="E1427" s="367" t="s">
        <v>6</v>
      </c>
      <c r="F1427" s="389" t="s">
        <v>2371</v>
      </c>
      <c r="G1427" s="385">
        <v>45643</v>
      </c>
      <c r="H1427" s="367" t="s">
        <v>9</v>
      </c>
      <c r="I1427" s="368" t="str">
        <f>VLOOKUP(H1427,'Source Codes'!A$2:B$115,2,FALSE)</f>
        <v>On Line Journal Entries</v>
      </c>
      <c r="J1427" s="412">
        <v>8610281</v>
      </c>
      <c r="K1427" s="385">
        <v>45657</v>
      </c>
      <c r="L1427" s="387" t="s">
        <v>344</v>
      </c>
      <c r="M1427" s="390">
        <v>45657.871261574073</v>
      </c>
      <c r="N1427" s="367" t="s">
        <v>356</v>
      </c>
      <c r="O1427" s="368" t="s">
        <v>364</v>
      </c>
      <c r="P1427" s="367" t="str">
        <f t="shared" si="2"/>
        <v>Revenue</v>
      </c>
      <c r="Q1427" s="366" t="s">
        <v>2232</v>
      </c>
      <c r="R1427" s="366" t="s">
        <v>2232</v>
      </c>
      <c r="S1427" s="366" t="s">
        <v>2392</v>
      </c>
    </row>
    <row r="1428" spans="1:19" ht="30" hidden="1" outlineLevel="1">
      <c r="B1428" s="384">
        <v>2025</v>
      </c>
      <c r="C1428" s="384">
        <v>6</v>
      </c>
      <c r="D1428" s="367" t="s">
        <v>5</v>
      </c>
      <c r="E1428" s="367" t="s">
        <v>6</v>
      </c>
      <c r="F1428" s="389" t="s">
        <v>2372</v>
      </c>
      <c r="G1428" s="385">
        <v>45645</v>
      </c>
      <c r="H1428" s="367" t="s">
        <v>9</v>
      </c>
      <c r="I1428" s="368" t="str">
        <f>VLOOKUP(H1428,'Source Codes'!A$2:B$115,2,FALSE)</f>
        <v>On Line Journal Entries</v>
      </c>
      <c r="J1428" s="412">
        <v>6807846</v>
      </c>
      <c r="K1428" s="385">
        <v>45657</v>
      </c>
      <c r="L1428" s="387" t="s">
        <v>344</v>
      </c>
      <c r="M1428" s="390">
        <v>45657.871261574073</v>
      </c>
      <c r="N1428" s="367" t="s">
        <v>356</v>
      </c>
      <c r="O1428" s="368" t="s">
        <v>364</v>
      </c>
      <c r="P1428" s="367" t="str">
        <f t="shared" si="2"/>
        <v>Revenue</v>
      </c>
      <c r="Q1428" s="366" t="s">
        <v>2232</v>
      </c>
      <c r="R1428" s="366" t="s">
        <v>2232</v>
      </c>
      <c r="S1428" s="366" t="s">
        <v>2393</v>
      </c>
    </row>
    <row r="1429" spans="1:19" ht="60" hidden="1" outlineLevel="1">
      <c r="B1429" s="384">
        <v>2025</v>
      </c>
      <c r="C1429" s="384">
        <v>6</v>
      </c>
      <c r="D1429" s="367" t="s">
        <v>5</v>
      </c>
      <c r="E1429" s="367" t="s">
        <v>6</v>
      </c>
      <c r="F1429" s="389" t="s">
        <v>2373</v>
      </c>
      <c r="G1429" s="385">
        <v>45646</v>
      </c>
      <c r="H1429" s="367" t="s">
        <v>9</v>
      </c>
      <c r="I1429" s="368" t="str">
        <f>VLOOKUP(H1429,'Source Codes'!A$2:B$115,2,FALSE)</f>
        <v>On Line Journal Entries</v>
      </c>
      <c r="J1429" s="412">
        <v>4076668</v>
      </c>
      <c r="K1429" s="385">
        <v>45657</v>
      </c>
      <c r="L1429" s="387" t="s">
        <v>347</v>
      </c>
      <c r="M1429" s="390">
        <v>45657.871261574073</v>
      </c>
      <c r="N1429" s="367" t="s">
        <v>356</v>
      </c>
      <c r="O1429" s="368" t="s">
        <v>364</v>
      </c>
      <c r="P1429" s="367" t="str">
        <f t="shared" si="2"/>
        <v>Revenue</v>
      </c>
      <c r="Q1429" s="366"/>
      <c r="R1429" s="366"/>
      <c r="S1429" s="366"/>
    </row>
    <row r="1430" spans="1:19" ht="30" hidden="1" outlineLevel="1">
      <c r="B1430" s="384">
        <v>2025</v>
      </c>
      <c r="C1430" s="384">
        <v>6</v>
      </c>
      <c r="D1430" s="367" t="s">
        <v>5</v>
      </c>
      <c r="E1430" s="367" t="s">
        <v>6</v>
      </c>
      <c r="F1430" s="389" t="s">
        <v>2374</v>
      </c>
      <c r="G1430" s="385">
        <v>45645</v>
      </c>
      <c r="H1430" s="367" t="s">
        <v>9</v>
      </c>
      <c r="I1430" s="368" t="str">
        <f>VLOOKUP(H1430,'Source Codes'!A$2:B$115,2,FALSE)</f>
        <v>On Line Journal Entries</v>
      </c>
      <c r="J1430" s="412">
        <v>3810174</v>
      </c>
      <c r="K1430" s="385">
        <v>45657</v>
      </c>
      <c r="L1430" s="387" t="s">
        <v>344</v>
      </c>
      <c r="M1430" s="390">
        <v>45657.871261574073</v>
      </c>
      <c r="N1430" s="367" t="s">
        <v>356</v>
      </c>
      <c r="O1430" s="368" t="s">
        <v>364</v>
      </c>
      <c r="P1430" s="367" t="str">
        <f t="shared" si="2"/>
        <v>Revenue</v>
      </c>
      <c r="Q1430" s="366" t="s">
        <v>2232</v>
      </c>
      <c r="R1430" s="366" t="s">
        <v>2232</v>
      </c>
      <c r="S1430" s="366" t="s">
        <v>2393</v>
      </c>
    </row>
    <row r="1431" spans="1:19" ht="30" hidden="1" outlineLevel="1">
      <c r="B1431" s="384">
        <v>2025</v>
      </c>
      <c r="C1431" s="384">
        <v>6</v>
      </c>
      <c r="D1431" s="367" t="s">
        <v>5</v>
      </c>
      <c r="E1431" s="367" t="s">
        <v>6</v>
      </c>
      <c r="F1431" s="389" t="s">
        <v>2375</v>
      </c>
      <c r="G1431" s="385">
        <v>45643</v>
      </c>
      <c r="H1431" s="367" t="s">
        <v>9</v>
      </c>
      <c r="I1431" s="368" t="str">
        <f>VLOOKUP(H1431,'Source Codes'!A$2:B$115,2,FALSE)</f>
        <v>On Line Journal Entries</v>
      </c>
      <c r="J1431" s="412">
        <v>2671919</v>
      </c>
      <c r="K1431" s="385">
        <v>45657</v>
      </c>
      <c r="L1431" s="387" t="s">
        <v>344</v>
      </c>
      <c r="M1431" s="390">
        <v>45657.871261574073</v>
      </c>
      <c r="N1431" s="367" t="s">
        <v>356</v>
      </c>
      <c r="O1431" s="368" t="s">
        <v>364</v>
      </c>
      <c r="P1431" s="367" t="str">
        <f t="shared" si="2"/>
        <v>Revenue</v>
      </c>
      <c r="Q1431" s="366" t="s">
        <v>2232</v>
      </c>
      <c r="R1431" s="366" t="s">
        <v>2232</v>
      </c>
      <c r="S1431" s="366" t="s">
        <v>2393</v>
      </c>
    </row>
    <row r="1432" spans="1:19" ht="30" hidden="1" outlineLevel="1">
      <c r="B1432" s="384">
        <v>2025</v>
      </c>
      <c r="C1432" s="384">
        <v>6</v>
      </c>
      <c r="D1432" s="367" t="s">
        <v>5</v>
      </c>
      <c r="E1432" s="367" t="s">
        <v>6</v>
      </c>
      <c r="F1432" s="389" t="s">
        <v>2376</v>
      </c>
      <c r="G1432" s="385">
        <v>45644</v>
      </c>
      <c r="H1432" s="367" t="s">
        <v>9</v>
      </c>
      <c r="I1432" s="368" t="str">
        <f>VLOOKUP(H1432,'Source Codes'!A$2:B$115,2,FALSE)</f>
        <v>On Line Journal Entries</v>
      </c>
      <c r="J1432" s="412">
        <v>2292616</v>
      </c>
      <c r="K1432" s="385">
        <v>45657</v>
      </c>
      <c r="L1432" s="387" t="s">
        <v>2378</v>
      </c>
      <c r="M1432" s="390">
        <v>45657.871261574073</v>
      </c>
      <c r="N1432" s="367" t="s">
        <v>361</v>
      </c>
      <c r="O1432" s="368" t="s">
        <v>380</v>
      </c>
      <c r="P1432" s="367" t="str">
        <f t="shared" si="2"/>
        <v>Revenue</v>
      </c>
      <c r="Q1432" s="366"/>
      <c r="R1432" s="366"/>
      <c r="S1432" s="366"/>
    </row>
    <row r="1433" spans="1:19" ht="30" hidden="1" outlineLevel="1">
      <c r="B1433" s="384">
        <v>2025</v>
      </c>
      <c r="C1433" s="384">
        <v>6</v>
      </c>
      <c r="D1433" s="367" t="s">
        <v>5</v>
      </c>
      <c r="E1433" s="367" t="s">
        <v>6</v>
      </c>
      <c r="F1433" s="389" t="s">
        <v>2377</v>
      </c>
      <c r="G1433" s="385">
        <v>45645</v>
      </c>
      <c r="H1433" s="367" t="s">
        <v>9</v>
      </c>
      <c r="I1433" s="368" t="str">
        <f>VLOOKUP(H1433,'Source Codes'!A$2:B$115,2,FALSE)</f>
        <v>On Line Journal Entries</v>
      </c>
      <c r="J1433" s="412">
        <v>1635014</v>
      </c>
      <c r="K1433" s="385">
        <v>45657</v>
      </c>
      <c r="L1433" s="387" t="s">
        <v>344</v>
      </c>
      <c r="M1433" s="390">
        <v>45657.871261574073</v>
      </c>
      <c r="N1433" s="367" t="s">
        <v>356</v>
      </c>
      <c r="O1433" s="368" t="s">
        <v>364</v>
      </c>
      <c r="P1433" s="367" t="str">
        <f t="shared" si="2"/>
        <v>Revenue</v>
      </c>
      <c r="Q1433" s="366" t="s">
        <v>2232</v>
      </c>
      <c r="R1433" s="366" t="s">
        <v>2232</v>
      </c>
      <c r="S1433" s="366" t="s">
        <v>2393</v>
      </c>
    </row>
    <row r="1434" spans="1:19" ht="15" hidden="1" outlineLevel="1">
      <c r="B1434" s="384">
        <v>2025</v>
      </c>
      <c r="C1434" s="384">
        <v>6</v>
      </c>
      <c r="D1434" s="367" t="s">
        <v>5</v>
      </c>
      <c r="E1434" s="367" t="s">
        <v>6</v>
      </c>
      <c r="F1434" s="389" t="s">
        <v>2379</v>
      </c>
      <c r="G1434" s="385">
        <v>45650</v>
      </c>
      <c r="H1434" s="367" t="s">
        <v>7</v>
      </c>
      <c r="I1434" s="368" t="str">
        <f>VLOOKUP(H1434,'Source Codes'!A$2:B$115,2,FALSE)</f>
        <v>HRMS Interface Journals</v>
      </c>
      <c r="J1434" s="412">
        <v>-2227489.37</v>
      </c>
      <c r="K1434" s="385">
        <v>45657</v>
      </c>
      <c r="L1434" s="387" t="s">
        <v>409</v>
      </c>
      <c r="M1434" s="390">
        <v>45657.520324074074</v>
      </c>
      <c r="N1434" s="367" t="s">
        <v>378</v>
      </c>
      <c r="O1434" s="368" t="s">
        <v>379</v>
      </c>
      <c r="P1434" s="367" t="str">
        <f t="shared" si="2"/>
        <v>Expense</v>
      </c>
      <c r="Q1434" s="366" t="s">
        <v>379</v>
      </c>
      <c r="R1434" s="366" t="s">
        <v>2333</v>
      </c>
      <c r="S1434" s="366">
        <v>513120</v>
      </c>
    </row>
    <row r="1435" spans="1:19" ht="15" hidden="1" outlineLevel="1">
      <c r="B1435" s="384">
        <v>2025</v>
      </c>
      <c r="C1435" s="384">
        <v>6</v>
      </c>
      <c r="D1435" s="367" t="s">
        <v>5</v>
      </c>
      <c r="E1435" s="367" t="s">
        <v>6</v>
      </c>
      <c r="F1435" s="389" t="s">
        <v>2380</v>
      </c>
      <c r="G1435" s="385">
        <v>45650</v>
      </c>
      <c r="H1435" s="367" t="s">
        <v>7</v>
      </c>
      <c r="I1435" s="368" t="str">
        <f>VLOOKUP(H1435,'Source Codes'!A$2:B$115,2,FALSE)</f>
        <v>HRMS Interface Journals</v>
      </c>
      <c r="J1435" s="412">
        <v>-10588806.439999999</v>
      </c>
      <c r="K1435" s="385">
        <v>45657</v>
      </c>
      <c r="L1435" s="387" t="s">
        <v>407</v>
      </c>
      <c r="M1435" s="390">
        <v>45657.514849537038</v>
      </c>
      <c r="N1435" s="367" t="s">
        <v>378</v>
      </c>
      <c r="O1435" s="368" t="s">
        <v>379</v>
      </c>
      <c r="P1435" s="367" t="str">
        <f t="shared" si="2"/>
        <v>Expense</v>
      </c>
      <c r="Q1435" s="366" t="s">
        <v>379</v>
      </c>
      <c r="R1435" s="366" t="s">
        <v>2333</v>
      </c>
      <c r="S1435" s="366" t="s">
        <v>203</v>
      </c>
    </row>
    <row r="1436" spans="1:19" ht="15" hidden="1" outlineLevel="1">
      <c r="B1436" s="384">
        <v>2025</v>
      </c>
      <c r="C1436" s="384">
        <v>6</v>
      </c>
      <c r="D1436" s="367" t="s">
        <v>5</v>
      </c>
      <c r="E1436" s="367" t="s">
        <v>6</v>
      </c>
      <c r="F1436" s="389" t="s">
        <v>2366</v>
      </c>
      <c r="G1436" s="385">
        <v>45650</v>
      </c>
      <c r="H1436" s="367" t="s">
        <v>7</v>
      </c>
      <c r="I1436" s="368" t="str">
        <f>VLOOKUP(H1436,'Source Codes'!A$2:B$115,2,FALSE)</f>
        <v>HRMS Interface Journals</v>
      </c>
      <c r="J1436" s="412">
        <v>-70131427.030000001</v>
      </c>
      <c r="K1436" s="385">
        <v>45658</v>
      </c>
      <c r="L1436" s="387" t="s">
        <v>406</v>
      </c>
      <c r="M1436" s="390">
        <v>45658.45888888889</v>
      </c>
      <c r="N1436" s="367" t="s">
        <v>378</v>
      </c>
      <c r="O1436" s="368" t="s">
        <v>371</v>
      </c>
      <c r="P1436" s="367" t="str">
        <f t="shared" si="2"/>
        <v>Expense</v>
      </c>
      <c r="Q1436" s="366" t="s">
        <v>379</v>
      </c>
      <c r="R1436" s="366" t="s">
        <v>2333</v>
      </c>
      <c r="S1436" s="366" t="s">
        <v>203</v>
      </c>
    </row>
    <row r="1437" spans="1:19" ht="12.75" customHeight="1" collapsed="1">
      <c r="J1437" s="413">
        <f>SUM(J1424:J1436)</f>
        <v>-18108568.489999995</v>
      </c>
    </row>
    <row r="1439" spans="1:19" ht="12.75" customHeight="1">
      <c r="A1439" s="378" t="s">
        <v>2381</v>
      </c>
    </row>
    <row r="1440" spans="1:19" ht="45" hidden="1" outlineLevel="1">
      <c r="B1440" s="384">
        <v>2025</v>
      </c>
      <c r="C1440" s="384">
        <v>7</v>
      </c>
      <c r="D1440" s="367" t="s">
        <v>5</v>
      </c>
      <c r="E1440" s="367" t="s">
        <v>6</v>
      </c>
      <c r="F1440" s="389" t="s">
        <v>2382</v>
      </c>
      <c r="G1440" s="385">
        <v>45663</v>
      </c>
      <c r="H1440" s="367" t="s">
        <v>14</v>
      </c>
      <c r="I1440" s="368" t="str">
        <f>VLOOKUP(H1440,'Source Codes'!A$2:B$115,2,FALSE)</f>
        <v>AP Warrant Issuance</v>
      </c>
      <c r="J1440" s="412">
        <v>-3903007.28</v>
      </c>
      <c r="K1440" s="385">
        <v>45659</v>
      </c>
      <c r="L1440" s="387" t="s">
        <v>2388</v>
      </c>
      <c r="M1440" s="390">
        <v>45659.793645833335</v>
      </c>
      <c r="N1440" s="367" t="s">
        <v>356</v>
      </c>
      <c r="O1440" s="368" t="s">
        <v>368</v>
      </c>
      <c r="P1440" s="367" t="str">
        <f>IF(J1440&gt;0,"Revenue",IF(J1440&lt;0,"Expense"))</f>
        <v>Expense</v>
      </c>
      <c r="Q1440" s="366" t="s">
        <v>2154</v>
      </c>
      <c r="R1440" s="366" t="s">
        <v>2154</v>
      </c>
      <c r="S1440" s="366" t="s">
        <v>203</v>
      </c>
    </row>
    <row r="1441" spans="1:19" ht="45" hidden="1" outlineLevel="1">
      <c r="B1441" s="384">
        <v>2025</v>
      </c>
      <c r="C1441" s="384">
        <v>6</v>
      </c>
      <c r="D1441" s="367" t="s">
        <v>5</v>
      </c>
      <c r="E1441" s="367" t="s">
        <v>6</v>
      </c>
      <c r="F1441" s="389" t="s">
        <v>2383</v>
      </c>
      <c r="G1441" s="385">
        <v>45649</v>
      </c>
      <c r="H1441" s="367" t="s">
        <v>11</v>
      </c>
      <c r="I1441" s="368" t="str">
        <f>VLOOKUP(H1441,'Source Codes'!A$2:B$115,2,FALSE)</f>
        <v>AR Payments</v>
      </c>
      <c r="J1441" s="412">
        <v>3365411.35</v>
      </c>
      <c r="K1441" s="385">
        <v>45659</v>
      </c>
      <c r="L1441" s="387" t="s">
        <v>2458</v>
      </c>
      <c r="M1441" s="390">
        <v>45659.751747685186</v>
      </c>
      <c r="N1441" s="367" t="s">
        <v>356</v>
      </c>
      <c r="O1441" s="368" t="s">
        <v>362</v>
      </c>
      <c r="P1441" s="367" t="str">
        <f>IF(J1441&gt;0,"Revenue",IF(J1441&lt;0,"Expense"))</f>
        <v>Revenue</v>
      </c>
      <c r="Q1441" s="366" t="s">
        <v>2360</v>
      </c>
      <c r="R1441" s="393">
        <v>45627</v>
      </c>
      <c r="S1441" s="366">
        <v>751680</v>
      </c>
    </row>
    <row r="1442" spans="1:19" ht="30" hidden="1" outlineLevel="1">
      <c r="B1442" s="384">
        <v>2025</v>
      </c>
      <c r="C1442" s="384">
        <v>6</v>
      </c>
      <c r="D1442" s="367" t="s">
        <v>5</v>
      </c>
      <c r="E1442" s="367" t="s">
        <v>6</v>
      </c>
      <c r="F1442" s="389" t="s">
        <v>2385</v>
      </c>
      <c r="G1442" s="385">
        <v>45643</v>
      </c>
      <c r="H1442" s="367" t="s">
        <v>9</v>
      </c>
      <c r="I1442" s="368" t="str">
        <f>VLOOKUP(H1442,'Source Codes'!A$2:B$115,2,FALSE)</f>
        <v>On Line Journal Entries</v>
      </c>
      <c r="J1442" s="412">
        <v>9725131.8900000006</v>
      </c>
      <c r="K1442" s="385">
        <v>45659</v>
      </c>
      <c r="L1442" s="387" t="s">
        <v>344</v>
      </c>
      <c r="M1442" s="390">
        <v>45659.871249999997</v>
      </c>
      <c r="N1442" s="367" t="s">
        <v>356</v>
      </c>
      <c r="O1442" s="368" t="s">
        <v>364</v>
      </c>
      <c r="P1442" s="367" t="str">
        <f>IF(J1442&gt;0,"Revenue",IF(J1442&lt;0,"Expense"))</f>
        <v>Revenue</v>
      </c>
      <c r="Q1442" s="366" t="s">
        <v>2232</v>
      </c>
      <c r="R1442" s="366" t="s">
        <v>2232</v>
      </c>
      <c r="S1442" s="366" t="s">
        <v>2393</v>
      </c>
    </row>
    <row r="1443" spans="1:19" ht="30" hidden="1" outlineLevel="1">
      <c r="B1443" s="384">
        <v>2025</v>
      </c>
      <c r="C1443" s="384">
        <v>6</v>
      </c>
      <c r="D1443" s="367" t="s">
        <v>5</v>
      </c>
      <c r="E1443" s="367" t="s">
        <v>6</v>
      </c>
      <c r="F1443" s="389" t="s">
        <v>2386</v>
      </c>
      <c r="G1443" s="385">
        <v>45659</v>
      </c>
      <c r="H1443" s="367" t="s">
        <v>9</v>
      </c>
      <c r="I1443" s="368" t="str">
        <f>VLOOKUP(H1443,'Source Codes'!A$2:B$115,2,FALSE)</f>
        <v>On Line Journal Entries</v>
      </c>
      <c r="J1443" s="412">
        <v>5500000</v>
      </c>
      <c r="K1443" s="385">
        <v>45659</v>
      </c>
      <c r="L1443" s="387" t="s">
        <v>1941</v>
      </c>
      <c r="M1443" s="390">
        <v>45659.871249999997</v>
      </c>
      <c r="N1443" s="367" t="s">
        <v>356</v>
      </c>
      <c r="O1443" s="368" t="s">
        <v>371</v>
      </c>
      <c r="P1443" s="367" t="str">
        <f>IF(J1443&gt;0,"Revenue",IF(J1443&lt;0,"Expense"))</f>
        <v>Revenue</v>
      </c>
      <c r="Q1443" s="366" t="s">
        <v>2176</v>
      </c>
      <c r="R1443" s="366" t="s">
        <v>2176</v>
      </c>
      <c r="S1443" s="366">
        <v>132600</v>
      </c>
    </row>
    <row r="1444" spans="1:19" ht="15" hidden="1" outlineLevel="1">
      <c r="B1444" s="384">
        <v>2025</v>
      </c>
      <c r="C1444" s="384">
        <v>6</v>
      </c>
      <c r="D1444" s="367" t="s">
        <v>5</v>
      </c>
      <c r="E1444" s="367" t="s">
        <v>6</v>
      </c>
      <c r="F1444" s="389" t="s">
        <v>2387</v>
      </c>
      <c r="G1444" s="385">
        <v>45659</v>
      </c>
      <c r="H1444" s="367" t="s">
        <v>13</v>
      </c>
      <c r="I1444" s="368" t="str">
        <f>VLOOKUP(H1444,'Source Codes'!A$2:B$115,2,FALSE)</f>
        <v>C-IV Voucher/Payments/EBT</v>
      </c>
      <c r="J1444" s="412">
        <v>-11651139.83</v>
      </c>
      <c r="K1444" s="385">
        <v>45659</v>
      </c>
      <c r="L1444" s="387" t="s">
        <v>2384</v>
      </c>
      <c r="M1444" s="390">
        <v>45659.871261574073</v>
      </c>
      <c r="N1444" s="367" t="s">
        <v>356</v>
      </c>
      <c r="O1444" s="368" t="s">
        <v>364</v>
      </c>
      <c r="P1444" s="367" t="str">
        <f>IF(J1444&gt;0,"Revenue",IF(J1444&lt;0,"Expense"))</f>
        <v>Expense</v>
      </c>
      <c r="Q1444" s="366" t="s">
        <v>2204</v>
      </c>
      <c r="R1444" s="393">
        <v>45658</v>
      </c>
      <c r="S1444" s="366">
        <v>530480</v>
      </c>
    </row>
    <row r="1445" spans="1:19" ht="12.75" customHeight="1" collapsed="1">
      <c r="J1445" s="413">
        <f>SUM(J1440:J1444)</f>
        <v>3036396.1300000008</v>
      </c>
    </row>
    <row r="1447" spans="1:19" ht="12.75" customHeight="1">
      <c r="A1447" s="378" t="s">
        <v>2390</v>
      </c>
    </row>
    <row r="1448" spans="1:19" ht="30" hidden="1" outlineLevel="1">
      <c r="B1448" s="384">
        <v>2025</v>
      </c>
      <c r="C1448" s="384">
        <v>7</v>
      </c>
      <c r="D1448" s="367" t="s">
        <v>5</v>
      </c>
      <c r="E1448" s="367" t="s">
        <v>6</v>
      </c>
      <c r="F1448" s="389" t="s">
        <v>2394</v>
      </c>
      <c r="G1448" s="385">
        <v>45664</v>
      </c>
      <c r="H1448" s="367" t="s">
        <v>14</v>
      </c>
      <c r="I1448" s="368" t="str">
        <f>VLOOKUP(H1448,'Source Codes'!A$2:B$115,2,FALSE)</f>
        <v>AP Warrant Issuance</v>
      </c>
      <c r="J1448" s="412">
        <v>-1344072.27</v>
      </c>
      <c r="K1448" s="385">
        <v>45660</v>
      </c>
      <c r="L1448" s="387" t="s">
        <v>2397</v>
      </c>
      <c r="M1448" s="390">
        <v>45660.793576388889</v>
      </c>
      <c r="N1448" s="367" t="s">
        <v>356</v>
      </c>
      <c r="O1448" s="368" t="s">
        <v>368</v>
      </c>
      <c r="P1448" s="367" t="str">
        <f>IF(J1448&gt;0,"Revenue",IF(J1448&lt;0,"Expense"))</f>
        <v>Expense</v>
      </c>
      <c r="Q1448" s="366" t="s">
        <v>2154</v>
      </c>
      <c r="R1448" s="366" t="s">
        <v>2154</v>
      </c>
      <c r="S1448" s="366" t="s">
        <v>303</v>
      </c>
    </row>
    <row r="1449" spans="1:19" ht="30" hidden="1" outlineLevel="1">
      <c r="B1449" s="384">
        <v>2025</v>
      </c>
      <c r="C1449" s="384">
        <v>7</v>
      </c>
      <c r="D1449" s="367" t="s">
        <v>5</v>
      </c>
      <c r="E1449" s="367" t="s">
        <v>6</v>
      </c>
      <c r="F1449" s="389" t="s">
        <v>2395</v>
      </c>
      <c r="G1449" s="385">
        <v>45660</v>
      </c>
      <c r="H1449" s="367" t="s">
        <v>14</v>
      </c>
      <c r="I1449" s="368" t="str">
        <f>VLOOKUP(H1449,'Source Codes'!A$2:B$115,2,FALSE)</f>
        <v>AP Warrant Issuance</v>
      </c>
      <c r="J1449" s="412">
        <v>-1016259.09</v>
      </c>
      <c r="K1449" s="385">
        <v>45660</v>
      </c>
      <c r="L1449" s="387" t="s">
        <v>2398</v>
      </c>
      <c r="M1449" s="390">
        <v>45660.793576388889</v>
      </c>
      <c r="N1449" s="367" t="s">
        <v>356</v>
      </c>
      <c r="O1449" s="368" t="s">
        <v>368</v>
      </c>
      <c r="P1449" s="367" t="str">
        <f>IF(J1449&gt;0,"Revenue",IF(J1449&lt;0,"Expense"))</f>
        <v>Expense</v>
      </c>
      <c r="Q1449" s="366" t="s">
        <v>2154</v>
      </c>
      <c r="R1449" s="366" t="s">
        <v>2154</v>
      </c>
      <c r="S1449" s="366" t="s">
        <v>303</v>
      </c>
    </row>
    <row r="1450" spans="1:19" ht="15" hidden="1" outlineLevel="1">
      <c r="B1450" s="384">
        <v>2025</v>
      </c>
      <c r="C1450" s="384">
        <v>7</v>
      </c>
      <c r="D1450" s="367" t="s">
        <v>5</v>
      </c>
      <c r="E1450" s="367" t="s">
        <v>6</v>
      </c>
      <c r="F1450" s="389" t="s">
        <v>2396</v>
      </c>
      <c r="G1450" s="385">
        <v>45659</v>
      </c>
      <c r="H1450" s="367" t="s">
        <v>9</v>
      </c>
      <c r="I1450" s="368" t="str">
        <f>VLOOKUP(H1450,'Source Codes'!A$2:B$115,2,FALSE)</f>
        <v>On Line Journal Entries</v>
      </c>
      <c r="J1450" s="412">
        <v>-1542083</v>
      </c>
      <c r="K1450" s="385">
        <v>45660</v>
      </c>
      <c r="L1450" s="387" t="s">
        <v>2389</v>
      </c>
      <c r="M1450" s="390">
        <v>45660.869791666664</v>
      </c>
      <c r="N1450" s="367" t="s">
        <v>356</v>
      </c>
      <c r="O1450" s="368" t="s">
        <v>368</v>
      </c>
      <c r="P1450" s="367" t="str">
        <f>IF(J1450&gt;0,"Revenue",IF(J1450&lt;0,"Expense"))</f>
        <v>Expense</v>
      </c>
      <c r="Q1450" s="366" t="s">
        <v>2219</v>
      </c>
      <c r="R1450" s="366" t="s">
        <v>2399</v>
      </c>
      <c r="S1450" s="366">
        <v>530280</v>
      </c>
    </row>
    <row r="1451" spans="1:19" ht="12.75" customHeight="1" collapsed="1">
      <c r="J1451" s="413">
        <f>SUM(J1448:J1450)</f>
        <v>-3902414.36</v>
      </c>
    </row>
    <row r="1453" spans="1:19" ht="12.75" customHeight="1">
      <c r="A1453" s="378" t="s">
        <v>2400</v>
      </c>
    </row>
    <row r="1454" spans="1:19" ht="30" hidden="1" outlineLevel="1">
      <c r="B1454" s="384">
        <v>2025</v>
      </c>
      <c r="C1454" s="384">
        <v>7</v>
      </c>
      <c r="D1454" s="367" t="s">
        <v>5</v>
      </c>
      <c r="E1454" s="367" t="s">
        <v>6</v>
      </c>
      <c r="F1454" s="389" t="s">
        <v>2401</v>
      </c>
      <c r="G1454" s="385">
        <v>45663</v>
      </c>
      <c r="H1454" s="367" t="s">
        <v>14</v>
      </c>
      <c r="I1454" s="368" t="str">
        <f>VLOOKUP(H1454,'Source Codes'!A$2:B$115,2,FALSE)</f>
        <v>AP Warrant Issuance</v>
      </c>
      <c r="J1454" s="412">
        <v>-1160125.74</v>
      </c>
      <c r="K1454" s="385">
        <v>45663</v>
      </c>
      <c r="L1454" s="387" t="s">
        <v>2402</v>
      </c>
      <c r="M1454" s="390">
        <v>45663.793611111112</v>
      </c>
      <c r="N1454" s="367" t="s">
        <v>356</v>
      </c>
      <c r="O1454" s="368" t="s">
        <v>368</v>
      </c>
      <c r="P1454" s="367" t="str">
        <f>IF(J1454&gt;0,"Revenue",IF(J1454&lt;0,"Expense"))</f>
        <v>Expense</v>
      </c>
      <c r="Q1454" s="366" t="s">
        <v>2154</v>
      </c>
      <c r="R1454" s="366" t="s">
        <v>2154</v>
      </c>
      <c r="S1454" s="366" t="s">
        <v>303</v>
      </c>
    </row>
    <row r="1455" spans="1:19" ht="12.75" customHeight="1" collapsed="1">
      <c r="J1455" s="413">
        <f>SUM(J1454)</f>
        <v>-1160125.74</v>
      </c>
    </row>
    <row r="1457" spans="1:19" ht="12.75" customHeight="1">
      <c r="A1457" s="378" t="s">
        <v>2404</v>
      </c>
    </row>
    <row r="1458" spans="1:19" ht="30" hidden="1" outlineLevel="1">
      <c r="B1458" s="384">
        <v>2025</v>
      </c>
      <c r="C1458" s="384">
        <v>7</v>
      </c>
      <c r="D1458" s="367" t="s">
        <v>5</v>
      </c>
      <c r="E1458" s="367" t="s">
        <v>6</v>
      </c>
      <c r="F1458" s="389" t="s">
        <v>2405</v>
      </c>
      <c r="G1458" s="385">
        <v>45666</v>
      </c>
      <c r="H1458" s="367" t="s">
        <v>14</v>
      </c>
      <c r="I1458" s="368" t="str">
        <f>VLOOKUP(H1458,'Source Codes'!A$2:B$115,2,FALSE)</f>
        <v>AP Warrant Issuance</v>
      </c>
      <c r="J1458" s="412">
        <v>-3549400.13</v>
      </c>
      <c r="K1458" s="385">
        <v>45664</v>
      </c>
      <c r="L1458" s="387" t="s">
        <v>2422</v>
      </c>
      <c r="M1458" s="390">
        <v>45664.793622685182</v>
      </c>
      <c r="N1458" s="367" t="s">
        <v>356</v>
      </c>
      <c r="O1458" s="368" t="s">
        <v>368</v>
      </c>
      <c r="P1458" s="367" t="str">
        <f t="shared" ref="P1458:P1467" si="3">IF(J1458&gt;0,"Revenue",IF(J1458&lt;0,"Expense"))</f>
        <v>Expense</v>
      </c>
      <c r="Q1458" s="366" t="s">
        <v>2154</v>
      </c>
      <c r="R1458" s="366" t="s">
        <v>2154</v>
      </c>
      <c r="S1458" s="366" t="s">
        <v>303</v>
      </c>
    </row>
    <row r="1459" spans="1:19" ht="30" hidden="1" outlineLevel="1">
      <c r="B1459" s="384">
        <v>2025</v>
      </c>
      <c r="C1459" s="384">
        <v>7</v>
      </c>
      <c r="D1459" s="367" t="s">
        <v>5</v>
      </c>
      <c r="E1459" s="367" t="s">
        <v>6</v>
      </c>
      <c r="F1459" s="389" t="s">
        <v>2406</v>
      </c>
      <c r="G1459" s="385">
        <v>45664</v>
      </c>
      <c r="H1459" s="367" t="s">
        <v>14</v>
      </c>
      <c r="I1459" s="368" t="str">
        <f>VLOOKUP(H1459,'Source Codes'!A$2:B$115,2,FALSE)</f>
        <v>AP Warrant Issuance</v>
      </c>
      <c r="J1459" s="412">
        <v>-1541928.64</v>
      </c>
      <c r="K1459" s="385">
        <v>45664</v>
      </c>
      <c r="L1459" s="387" t="s">
        <v>2423</v>
      </c>
      <c r="M1459" s="390">
        <v>45664.793622685182</v>
      </c>
      <c r="N1459" s="367" t="s">
        <v>356</v>
      </c>
      <c r="O1459" s="368" t="s">
        <v>368</v>
      </c>
      <c r="P1459" s="367" t="str">
        <f t="shared" si="3"/>
        <v>Expense</v>
      </c>
      <c r="Q1459" s="366" t="s">
        <v>2154</v>
      </c>
      <c r="R1459" s="366" t="s">
        <v>2154</v>
      </c>
      <c r="S1459" s="366" t="s">
        <v>303</v>
      </c>
    </row>
    <row r="1460" spans="1:19" ht="15" hidden="1" outlineLevel="1">
      <c r="B1460" s="384">
        <v>2025</v>
      </c>
      <c r="C1460" s="384">
        <v>6</v>
      </c>
      <c r="D1460" s="367" t="s">
        <v>5</v>
      </c>
      <c r="E1460" s="367" t="s">
        <v>6</v>
      </c>
      <c r="F1460" s="389" t="s">
        <v>2407</v>
      </c>
      <c r="G1460" s="385">
        <v>45653</v>
      </c>
      <c r="H1460" s="367" t="s">
        <v>12</v>
      </c>
      <c r="I1460" s="368" t="str">
        <f>VLOOKUP(H1460,'Source Codes'!A$2:B$115,2,FALSE)</f>
        <v>AR Direct Cash Journal</v>
      </c>
      <c r="J1460" s="412">
        <v>-1043318.81</v>
      </c>
      <c r="K1460" s="385">
        <v>45664</v>
      </c>
      <c r="L1460" s="387" t="s">
        <v>2428</v>
      </c>
      <c r="M1460" s="390">
        <v>45664.75209490741</v>
      </c>
      <c r="N1460" s="367" t="s">
        <v>2185</v>
      </c>
      <c r="O1460" s="368" t="s">
        <v>379</v>
      </c>
      <c r="P1460" s="367" t="str">
        <f t="shared" si="3"/>
        <v>Expense</v>
      </c>
      <c r="Q1460" s="366" t="s">
        <v>379</v>
      </c>
      <c r="R1460" s="366" t="s">
        <v>2424</v>
      </c>
      <c r="S1460" s="366" t="s">
        <v>303</v>
      </c>
    </row>
    <row r="1461" spans="1:19" ht="30" hidden="1" outlineLevel="1">
      <c r="B1461" s="384">
        <v>2025</v>
      </c>
      <c r="C1461" s="384">
        <v>7</v>
      </c>
      <c r="D1461" s="367" t="s">
        <v>5</v>
      </c>
      <c r="E1461" s="367" t="s">
        <v>6</v>
      </c>
      <c r="F1461" s="389" t="s">
        <v>2408</v>
      </c>
      <c r="G1461" s="385">
        <v>45659</v>
      </c>
      <c r="H1461" s="367" t="s">
        <v>16</v>
      </c>
      <c r="I1461" s="368" t="str">
        <f>VLOOKUP(H1461,'Source Codes'!A$2:B$115,2,FALSE)</f>
        <v>Property Tax Interface</v>
      </c>
      <c r="J1461" s="412">
        <v>151211662.93000001</v>
      </c>
      <c r="K1461" s="385">
        <v>45664</v>
      </c>
      <c r="L1461" s="387" t="s">
        <v>2415</v>
      </c>
      <c r="M1461" s="390">
        <v>45664.669525462959</v>
      </c>
      <c r="N1461" s="367" t="s">
        <v>507</v>
      </c>
      <c r="O1461" s="368" t="s">
        <v>384</v>
      </c>
      <c r="P1461" s="367" t="str">
        <f t="shared" si="3"/>
        <v>Revenue</v>
      </c>
      <c r="Q1461" s="366" t="s">
        <v>2266</v>
      </c>
      <c r="R1461" s="366" t="s">
        <v>2267</v>
      </c>
      <c r="S1461" s="366" t="s">
        <v>2425</v>
      </c>
    </row>
    <row r="1462" spans="1:19" ht="30" hidden="1" outlineLevel="1">
      <c r="B1462" s="384">
        <v>2025</v>
      </c>
      <c r="C1462" s="384">
        <v>6</v>
      </c>
      <c r="D1462" s="367" t="s">
        <v>5</v>
      </c>
      <c r="E1462" s="367" t="s">
        <v>6</v>
      </c>
      <c r="F1462" s="389" t="s">
        <v>2409</v>
      </c>
      <c r="G1462" s="385">
        <v>45653</v>
      </c>
      <c r="H1462" s="367" t="s">
        <v>9</v>
      </c>
      <c r="I1462" s="368" t="str">
        <f>VLOOKUP(H1462,'Source Codes'!A$2:B$115,2,FALSE)</f>
        <v>On Line Journal Entries</v>
      </c>
      <c r="J1462" s="412">
        <v>22725226.890000001</v>
      </c>
      <c r="K1462" s="385">
        <v>45664</v>
      </c>
      <c r="L1462" s="387" t="s">
        <v>2416</v>
      </c>
      <c r="M1462" s="390">
        <v>45664.871249999997</v>
      </c>
      <c r="N1462" s="367" t="s">
        <v>356</v>
      </c>
      <c r="O1462" s="368" t="s">
        <v>371</v>
      </c>
      <c r="P1462" s="367" t="str">
        <f t="shared" si="3"/>
        <v>Revenue</v>
      </c>
      <c r="Q1462" s="366" t="s">
        <v>2158</v>
      </c>
      <c r="R1462" s="366" t="s">
        <v>2426</v>
      </c>
      <c r="S1462" s="366">
        <v>755120</v>
      </c>
    </row>
    <row r="1463" spans="1:19" ht="45" hidden="1" outlineLevel="1">
      <c r="B1463" s="384">
        <v>2025</v>
      </c>
      <c r="C1463" s="384">
        <v>6</v>
      </c>
      <c r="D1463" s="367" t="s">
        <v>5</v>
      </c>
      <c r="E1463" s="367" t="s">
        <v>6</v>
      </c>
      <c r="F1463" s="389" t="s">
        <v>2410</v>
      </c>
      <c r="G1463" s="385">
        <v>45653</v>
      </c>
      <c r="H1463" s="367" t="s">
        <v>9</v>
      </c>
      <c r="I1463" s="368" t="str">
        <f>VLOOKUP(H1463,'Source Codes'!A$2:B$115,2,FALSE)</f>
        <v>On Line Journal Entries</v>
      </c>
      <c r="J1463" s="412">
        <v>10907643.1</v>
      </c>
      <c r="K1463" s="385">
        <v>45664</v>
      </c>
      <c r="L1463" s="387" t="s">
        <v>2417</v>
      </c>
      <c r="M1463" s="390">
        <v>45664.871249999997</v>
      </c>
      <c r="N1463" s="367" t="s">
        <v>356</v>
      </c>
      <c r="O1463" s="368" t="s">
        <v>371</v>
      </c>
      <c r="P1463" s="367" t="str">
        <f t="shared" si="3"/>
        <v>Revenue</v>
      </c>
      <c r="Q1463" s="366" t="s">
        <v>2427</v>
      </c>
      <c r="R1463" s="366" t="s">
        <v>2719</v>
      </c>
      <c r="S1463" s="366" t="s">
        <v>2160</v>
      </c>
    </row>
    <row r="1464" spans="1:19" ht="60" hidden="1" outlineLevel="1">
      <c r="B1464" s="384">
        <v>2025</v>
      </c>
      <c r="C1464" s="384">
        <v>6</v>
      </c>
      <c r="D1464" s="367" t="s">
        <v>5</v>
      </c>
      <c r="E1464" s="367" t="s">
        <v>6</v>
      </c>
      <c r="F1464" s="389" t="s">
        <v>2411</v>
      </c>
      <c r="G1464" s="385">
        <v>45653</v>
      </c>
      <c r="H1464" s="367" t="s">
        <v>9</v>
      </c>
      <c r="I1464" s="368" t="str">
        <f>VLOOKUP(H1464,'Source Codes'!A$2:B$115,2,FALSE)</f>
        <v>On Line Journal Entries</v>
      </c>
      <c r="J1464" s="412">
        <v>3348859.09</v>
      </c>
      <c r="K1464" s="385">
        <v>45664</v>
      </c>
      <c r="L1464" s="387" t="s">
        <v>2418</v>
      </c>
      <c r="M1464" s="390">
        <v>45664.871249999997</v>
      </c>
      <c r="N1464" s="367" t="s">
        <v>356</v>
      </c>
      <c r="O1464" s="368" t="s">
        <v>371</v>
      </c>
      <c r="P1464" s="367" t="str">
        <f t="shared" si="3"/>
        <v>Revenue</v>
      </c>
      <c r="Q1464" s="366" t="s">
        <v>2163</v>
      </c>
      <c r="R1464" s="366" t="s">
        <v>2724</v>
      </c>
      <c r="S1464" s="366">
        <v>750900</v>
      </c>
    </row>
    <row r="1465" spans="1:19" ht="15" hidden="1" outlineLevel="1">
      <c r="B1465" s="384">
        <v>2025</v>
      </c>
      <c r="C1465" s="384">
        <v>6</v>
      </c>
      <c r="D1465" s="367" t="s">
        <v>5</v>
      </c>
      <c r="E1465" s="367" t="s">
        <v>6</v>
      </c>
      <c r="F1465" s="389" t="s">
        <v>2412</v>
      </c>
      <c r="G1465" s="385">
        <v>45653</v>
      </c>
      <c r="H1465" s="367" t="s">
        <v>9</v>
      </c>
      <c r="I1465" s="368" t="str">
        <f>VLOOKUP(H1465,'Source Codes'!A$2:B$115,2,FALSE)</f>
        <v>On Line Journal Entries</v>
      </c>
      <c r="J1465" s="412">
        <v>1573745.6</v>
      </c>
      <c r="K1465" s="385">
        <v>45664</v>
      </c>
      <c r="L1465" s="387" t="s">
        <v>2419</v>
      </c>
      <c r="M1465" s="390">
        <v>45664.871249999997</v>
      </c>
      <c r="N1465" s="367" t="s">
        <v>356</v>
      </c>
      <c r="O1465" s="368" t="s">
        <v>371</v>
      </c>
      <c r="P1465" s="367" t="str">
        <f t="shared" si="3"/>
        <v>Revenue</v>
      </c>
      <c r="Q1465" s="366" t="s">
        <v>2164</v>
      </c>
      <c r="R1465" s="394" t="s">
        <v>2722</v>
      </c>
      <c r="S1465" s="366">
        <v>755909</v>
      </c>
    </row>
    <row r="1466" spans="1:19" ht="45" hidden="1" outlineLevel="1">
      <c r="B1466" s="384">
        <v>2025</v>
      </c>
      <c r="C1466" s="384">
        <v>6</v>
      </c>
      <c r="D1466" s="367" t="s">
        <v>5</v>
      </c>
      <c r="E1466" s="367" t="s">
        <v>6</v>
      </c>
      <c r="F1466" s="389" t="s">
        <v>2413</v>
      </c>
      <c r="G1466" s="385">
        <v>45653</v>
      </c>
      <c r="H1466" s="367" t="s">
        <v>9</v>
      </c>
      <c r="I1466" s="368" t="str">
        <f>VLOOKUP(H1466,'Source Codes'!A$2:B$115,2,FALSE)</f>
        <v>On Line Journal Entries</v>
      </c>
      <c r="J1466" s="412">
        <v>1039074.13</v>
      </c>
      <c r="K1466" s="385">
        <v>45664</v>
      </c>
      <c r="L1466" s="387" t="s">
        <v>2420</v>
      </c>
      <c r="M1466" s="390">
        <v>45664.871249999997</v>
      </c>
      <c r="N1466" s="367" t="s">
        <v>356</v>
      </c>
      <c r="O1466" s="368" t="s">
        <v>371</v>
      </c>
      <c r="P1466" s="367" t="str">
        <f t="shared" si="3"/>
        <v>Revenue</v>
      </c>
      <c r="Q1466" s="366" t="s">
        <v>2165</v>
      </c>
      <c r="R1466" s="366" t="s">
        <v>2719</v>
      </c>
      <c r="S1466" s="366">
        <v>751500</v>
      </c>
    </row>
    <row r="1467" spans="1:19" ht="30" hidden="1" outlineLevel="1">
      <c r="B1467" s="384">
        <v>2025</v>
      </c>
      <c r="C1467" s="384">
        <v>6</v>
      </c>
      <c r="D1467" s="367" t="s">
        <v>5</v>
      </c>
      <c r="E1467" s="367" t="s">
        <v>6</v>
      </c>
      <c r="F1467" s="389" t="s">
        <v>2414</v>
      </c>
      <c r="G1467" s="385">
        <v>45653</v>
      </c>
      <c r="H1467" s="367" t="s">
        <v>9</v>
      </c>
      <c r="I1467" s="368" t="str">
        <f>VLOOKUP(H1467,'Source Codes'!A$2:B$115,2,FALSE)</f>
        <v>On Line Journal Entries</v>
      </c>
      <c r="J1467" s="412">
        <v>-2933609.82</v>
      </c>
      <c r="K1467" s="385">
        <v>45664</v>
      </c>
      <c r="L1467" s="387" t="s">
        <v>2421</v>
      </c>
      <c r="M1467" s="390">
        <v>45664.871249999997</v>
      </c>
      <c r="N1467" s="367" t="s">
        <v>356</v>
      </c>
      <c r="O1467" s="368" t="s">
        <v>371</v>
      </c>
      <c r="P1467" s="367" t="str">
        <f t="shared" si="3"/>
        <v>Expense</v>
      </c>
      <c r="Q1467" s="366" t="s">
        <v>2429</v>
      </c>
      <c r="R1467" s="366" t="s">
        <v>2725</v>
      </c>
      <c r="S1467" s="366" t="s">
        <v>2166</v>
      </c>
    </row>
    <row r="1468" spans="1:19" ht="12.75" customHeight="1" collapsed="1">
      <c r="J1468" s="413">
        <f>SUM(J1458:J1467)</f>
        <v>181737954.34</v>
      </c>
    </row>
    <row r="1470" spans="1:19" ht="12.75" customHeight="1">
      <c r="A1470" s="378" t="s">
        <v>2430</v>
      </c>
    </row>
    <row r="1471" spans="1:19" ht="30" hidden="1" outlineLevel="1">
      <c r="B1471" s="384">
        <v>2025</v>
      </c>
      <c r="C1471" s="384">
        <v>7</v>
      </c>
      <c r="D1471" s="367" t="s">
        <v>5</v>
      </c>
      <c r="E1471" s="367" t="s">
        <v>6</v>
      </c>
      <c r="F1471" s="389" t="s">
        <v>2431</v>
      </c>
      <c r="G1471" s="385">
        <v>45664</v>
      </c>
      <c r="H1471" s="367" t="s">
        <v>159</v>
      </c>
      <c r="I1471" s="368" t="str">
        <f>VLOOKUP(H1471,'Source Codes'!A$2:B$115,2,FALSE)</f>
        <v>Property Tax Interface Refunds</v>
      </c>
      <c r="J1471" s="412">
        <v>1530441.19</v>
      </c>
      <c r="K1471" s="385">
        <v>45665</v>
      </c>
      <c r="L1471" s="387" t="s">
        <v>2433</v>
      </c>
      <c r="M1471" s="390">
        <v>45665.368750000001</v>
      </c>
      <c r="N1471" s="367" t="s">
        <v>2185</v>
      </c>
      <c r="O1471" s="368" t="s">
        <v>371</v>
      </c>
      <c r="P1471" s="367" t="str">
        <f>IF(J1471&gt;0,"Revenue",IF(J1471&lt;0,"Expense"))</f>
        <v>Revenue</v>
      </c>
      <c r="Q1471" s="366" t="s">
        <v>2434</v>
      </c>
      <c r="R1471" s="366" t="s">
        <v>2435</v>
      </c>
      <c r="S1471" s="366">
        <v>781140</v>
      </c>
    </row>
    <row r="1472" spans="1:19" ht="15" hidden="1" outlineLevel="1">
      <c r="B1472" s="384">
        <v>2025</v>
      </c>
      <c r="C1472" s="384">
        <v>7</v>
      </c>
      <c r="D1472" s="367" t="s">
        <v>5</v>
      </c>
      <c r="E1472" s="367" t="s">
        <v>6</v>
      </c>
      <c r="F1472" s="389" t="s">
        <v>2432</v>
      </c>
      <c r="G1472" s="385">
        <v>45666</v>
      </c>
      <c r="H1472" s="367" t="s">
        <v>7</v>
      </c>
      <c r="I1472" s="368" t="str">
        <f>VLOOKUP(H1472,'Source Codes'!A$2:B$115,2,FALSE)</f>
        <v>HRMS Interface Journals</v>
      </c>
      <c r="J1472" s="412">
        <v>-3770666.02</v>
      </c>
      <c r="K1472" s="385">
        <v>45665</v>
      </c>
      <c r="L1472" s="387" t="s">
        <v>406</v>
      </c>
      <c r="M1472" s="390">
        <v>45665.55300925926</v>
      </c>
      <c r="N1472" s="367" t="s">
        <v>378</v>
      </c>
      <c r="O1472" s="368" t="s">
        <v>371</v>
      </c>
      <c r="P1472" s="367" t="str">
        <f>IF(J1472&gt;0,"Revenue",IF(J1472&lt;0,"Expense"))</f>
        <v>Expense</v>
      </c>
      <c r="Q1472" s="366" t="s">
        <v>379</v>
      </c>
      <c r="R1472" s="366" t="s">
        <v>2436</v>
      </c>
      <c r="S1472" s="366" t="s">
        <v>203</v>
      </c>
    </row>
    <row r="1473" spans="1:19" ht="12.75" customHeight="1" collapsed="1">
      <c r="J1473" s="413">
        <f>SUM(J1471:J1472)</f>
        <v>-2240224.83</v>
      </c>
    </row>
    <row r="1475" spans="1:19" ht="12.75" customHeight="1">
      <c r="A1475" s="378" t="s">
        <v>2437</v>
      </c>
    </row>
    <row r="1476" spans="1:19" ht="60" hidden="1" outlineLevel="1">
      <c r="B1476" s="384">
        <v>2025</v>
      </c>
      <c r="C1476" s="384">
        <v>7</v>
      </c>
      <c r="D1476" s="367" t="s">
        <v>5</v>
      </c>
      <c r="E1476" s="367" t="s">
        <v>6</v>
      </c>
      <c r="F1476" s="389" t="s">
        <v>2438</v>
      </c>
      <c r="G1476" s="385">
        <v>45666</v>
      </c>
      <c r="H1476" s="367" t="s">
        <v>14</v>
      </c>
      <c r="I1476" s="368" t="str">
        <f>VLOOKUP(H1476,'Source Codes'!A$2:B$115,2,FALSE)</f>
        <v>AP Warrant Issuance</v>
      </c>
      <c r="J1476" s="412">
        <v>-61020889.899999999</v>
      </c>
      <c r="K1476" s="385">
        <v>45666</v>
      </c>
      <c r="L1476" s="387" t="s">
        <v>2443</v>
      </c>
      <c r="M1476" s="390">
        <v>45666.793645833335</v>
      </c>
      <c r="N1476" s="367" t="s">
        <v>361</v>
      </c>
      <c r="O1476" s="368" t="s">
        <v>370</v>
      </c>
      <c r="P1476" s="367" t="str">
        <f>IF(J1476&gt;0,"Revenue",IF(J1476&lt;0,"Expense"))</f>
        <v>Expense</v>
      </c>
      <c r="Q1476" s="366" t="s">
        <v>2975</v>
      </c>
      <c r="R1476" s="366" t="s">
        <v>2976</v>
      </c>
      <c r="S1476" s="366">
        <v>525440</v>
      </c>
    </row>
    <row r="1477" spans="1:19" ht="60" hidden="1" outlineLevel="1">
      <c r="B1477" s="384">
        <v>2025</v>
      </c>
      <c r="C1477" s="384">
        <v>7</v>
      </c>
      <c r="D1477" s="367" t="s">
        <v>5</v>
      </c>
      <c r="E1477" s="367" t="s">
        <v>6</v>
      </c>
      <c r="F1477" s="389" t="s">
        <v>2439</v>
      </c>
      <c r="G1477" s="385">
        <v>45670</v>
      </c>
      <c r="H1477" s="367" t="s">
        <v>14</v>
      </c>
      <c r="I1477" s="368" t="str">
        <f>VLOOKUP(H1477,'Source Codes'!A$2:B$115,2,FALSE)</f>
        <v>AP Warrant Issuance</v>
      </c>
      <c r="J1477" s="412">
        <v>-6452640.9000000004</v>
      </c>
      <c r="K1477" s="385">
        <v>45666</v>
      </c>
      <c r="L1477" s="387" t="s">
        <v>2444</v>
      </c>
      <c r="M1477" s="390">
        <v>45666.793645833335</v>
      </c>
      <c r="N1477" s="367" t="s">
        <v>2185</v>
      </c>
      <c r="O1477" s="368" t="s">
        <v>357</v>
      </c>
      <c r="P1477" s="367" t="str">
        <f>IF(J1477&gt;0,"Revenue",IF(J1477&lt;0,"Expense"))</f>
        <v>Expense</v>
      </c>
      <c r="Q1477" s="366" t="s">
        <v>2309</v>
      </c>
      <c r="R1477" s="366" t="s">
        <v>2310</v>
      </c>
      <c r="S1477" s="366">
        <v>546040</v>
      </c>
    </row>
    <row r="1478" spans="1:19" ht="30" hidden="1" outlineLevel="1">
      <c r="B1478" s="384">
        <v>2025</v>
      </c>
      <c r="C1478" s="384">
        <v>7</v>
      </c>
      <c r="D1478" s="367" t="s">
        <v>5</v>
      </c>
      <c r="E1478" s="367" t="s">
        <v>6</v>
      </c>
      <c r="F1478" s="389" t="s">
        <v>2440</v>
      </c>
      <c r="G1478" s="385">
        <v>45666</v>
      </c>
      <c r="H1478" s="367" t="s">
        <v>14</v>
      </c>
      <c r="I1478" s="368" t="str">
        <f>VLOOKUP(H1478,'Source Codes'!A$2:B$115,2,FALSE)</f>
        <v>AP Warrant Issuance</v>
      </c>
      <c r="J1478" s="412">
        <v>-3814939.05</v>
      </c>
      <c r="K1478" s="385">
        <v>45666</v>
      </c>
      <c r="L1478" s="387" t="s">
        <v>2445</v>
      </c>
      <c r="M1478" s="390">
        <v>45666.793645833335</v>
      </c>
      <c r="N1478" s="367" t="s">
        <v>361</v>
      </c>
      <c r="O1478" s="368" t="s">
        <v>363</v>
      </c>
      <c r="P1478" s="367" t="str">
        <f>IF(J1478&gt;0,"Revenue",IF(J1478&lt;0,"Expense"))</f>
        <v>Expense</v>
      </c>
      <c r="Q1478" s="366" t="s">
        <v>2446</v>
      </c>
      <c r="R1478" s="366" t="s">
        <v>2447</v>
      </c>
      <c r="S1478" s="366">
        <v>208100</v>
      </c>
    </row>
    <row r="1479" spans="1:19" ht="15" hidden="1" outlineLevel="1">
      <c r="B1479" s="384">
        <v>2025</v>
      </c>
      <c r="C1479" s="384">
        <v>7</v>
      </c>
      <c r="D1479" s="367" t="s">
        <v>5</v>
      </c>
      <c r="E1479" s="367" t="s">
        <v>6</v>
      </c>
      <c r="F1479" s="389" t="s">
        <v>2441</v>
      </c>
      <c r="G1479" s="385">
        <v>45659</v>
      </c>
      <c r="H1479" s="367" t="s">
        <v>13</v>
      </c>
      <c r="I1479" s="368" t="str">
        <f>VLOOKUP(H1479,'Source Codes'!A$2:B$115,2,FALSE)</f>
        <v>C-IV Voucher/Payments/EBT</v>
      </c>
      <c r="J1479" s="412">
        <v>-9420678.4700000007</v>
      </c>
      <c r="K1479" s="385">
        <v>45666</v>
      </c>
      <c r="L1479" s="387" t="s">
        <v>2442</v>
      </c>
      <c r="M1479" s="390">
        <v>45666.871064814812</v>
      </c>
      <c r="N1479" s="367" t="s">
        <v>356</v>
      </c>
      <c r="O1479" s="368" t="s">
        <v>364</v>
      </c>
      <c r="P1479" s="367" t="str">
        <f>IF(J1479&gt;0,"Revenue",IF(J1479&lt;0,"Expense"))</f>
        <v>Expense</v>
      </c>
      <c r="Q1479" s="366" t="s">
        <v>2204</v>
      </c>
      <c r="R1479" s="393">
        <v>45658</v>
      </c>
      <c r="S1479" s="366">
        <v>530480</v>
      </c>
    </row>
    <row r="1480" spans="1:19" ht="12.75" customHeight="1" collapsed="1">
      <c r="J1480" s="413">
        <f>SUM(J1476:J1479)</f>
        <v>-80709148.319999993</v>
      </c>
    </row>
    <row r="1482" spans="1:19" ht="12.75" customHeight="1">
      <c r="A1482" s="378" t="s">
        <v>2448</v>
      </c>
    </row>
    <row r="1483" spans="1:19" ht="60" hidden="1" outlineLevel="1">
      <c r="B1483" s="384">
        <v>2025</v>
      </c>
      <c r="C1483" s="384">
        <v>7</v>
      </c>
      <c r="D1483" s="367" t="s">
        <v>5</v>
      </c>
      <c r="E1483" s="367" t="s">
        <v>6</v>
      </c>
      <c r="F1483" s="389" t="s">
        <v>2449</v>
      </c>
      <c r="G1483" s="385">
        <v>45672</v>
      </c>
      <c r="H1483" s="367" t="s">
        <v>14</v>
      </c>
      <c r="I1483" s="368" t="str">
        <f>VLOOKUP(H1483,'Source Codes'!A$2:B$115,2,FALSE)</f>
        <v>AP Warrant Issuance</v>
      </c>
      <c r="J1483" s="412">
        <v>-5253258.71</v>
      </c>
      <c r="K1483" s="385">
        <v>45670</v>
      </c>
      <c r="L1483" s="387" t="s">
        <v>2455</v>
      </c>
      <c r="M1483" s="390">
        <v>45670.793692129628</v>
      </c>
      <c r="N1483" s="367" t="s">
        <v>356</v>
      </c>
      <c r="O1483" s="368" t="s">
        <v>364</v>
      </c>
      <c r="P1483" s="367" t="str">
        <f>IF(J1483&gt;0,"Revenue",IF(J1483&lt;0,"Expense"))</f>
        <v>Expense</v>
      </c>
      <c r="Q1483" s="366" t="s">
        <v>2254</v>
      </c>
      <c r="R1483" s="393">
        <v>45627</v>
      </c>
      <c r="S1483" s="366">
        <v>530440</v>
      </c>
    </row>
    <row r="1484" spans="1:19" ht="30" hidden="1" outlineLevel="1">
      <c r="B1484" s="384">
        <v>2025</v>
      </c>
      <c r="C1484" s="384">
        <v>7</v>
      </c>
      <c r="D1484" s="367" t="s">
        <v>5</v>
      </c>
      <c r="E1484" s="367" t="s">
        <v>6</v>
      </c>
      <c r="F1484" s="389" t="s">
        <v>2450</v>
      </c>
      <c r="G1484" s="385">
        <v>45672</v>
      </c>
      <c r="H1484" s="367" t="s">
        <v>14</v>
      </c>
      <c r="I1484" s="368" t="str">
        <f>VLOOKUP(H1484,'Source Codes'!A$2:B$115,2,FALSE)</f>
        <v>AP Warrant Issuance</v>
      </c>
      <c r="J1484" s="412">
        <v>-3801473.64</v>
      </c>
      <c r="K1484" s="385">
        <v>45670</v>
      </c>
      <c r="L1484" s="387" t="s">
        <v>2456</v>
      </c>
      <c r="M1484" s="390">
        <v>45670.793692129628</v>
      </c>
      <c r="N1484" s="367" t="s">
        <v>356</v>
      </c>
      <c r="O1484" s="368" t="s">
        <v>368</v>
      </c>
      <c r="P1484" s="367" t="str">
        <f>IF(J1484&gt;0,"Revenue",IF(J1484&lt;0,"Expense"))</f>
        <v>Expense</v>
      </c>
      <c r="Q1484" s="366" t="s">
        <v>2154</v>
      </c>
      <c r="R1484" s="366" t="s">
        <v>2154</v>
      </c>
      <c r="S1484" s="366" t="s">
        <v>303</v>
      </c>
    </row>
    <row r="1485" spans="1:19" ht="60" hidden="1" outlineLevel="1">
      <c r="B1485" s="384">
        <v>2025</v>
      </c>
      <c r="C1485" s="384">
        <v>7</v>
      </c>
      <c r="D1485" s="367" t="s">
        <v>5</v>
      </c>
      <c r="E1485" s="367" t="s">
        <v>6</v>
      </c>
      <c r="F1485" s="389" t="s">
        <v>2451</v>
      </c>
      <c r="G1485" s="385">
        <v>45670</v>
      </c>
      <c r="H1485" s="367" t="s">
        <v>14</v>
      </c>
      <c r="I1485" s="368" t="str">
        <f>VLOOKUP(H1485,'Source Codes'!A$2:B$115,2,FALSE)</f>
        <v>AP Warrant Issuance</v>
      </c>
      <c r="J1485" s="412">
        <v>-1137847.17</v>
      </c>
      <c r="K1485" s="385">
        <v>45670</v>
      </c>
      <c r="L1485" s="387" t="s">
        <v>2457</v>
      </c>
      <c r="M1485" s="390">
        <v>45670.793692129628</v>
      </c>
      <c r="N1485" s="367" t="s">
        <v>356</v>
      </c>
      <c r="O1485" s="368" t="s">
        <v>370</v>
      </c>
      <c r="P1485" s="367" t="str">
        <f>IF(J1485&gt;0,"Revenue",IF(J1485&lt;0,"Expense"))</f>
        <v>Expense</v>
      </c>
      <c r="Q1485" s="366" t="s">
        <v>2212</v>
      </c>
      <c r="R1485" s="366" t="s">
        <v>2213</v>
      </c>
      <c r="S1485" s="366">
        <v>546340</v>
      </c>
    </row>
    <row r="1486" spans="1:19" ht="30" hidden="1" outlineLevel="1">
      <c r="B1486" s="384">
        <v>2025</v>
      </c>
      <c r="C1486" s="384">
        <v>7</v>
      </c>
      <c r="D1486" s="367" t="s">
        <v>5</v>
      </c>
      <c r="E1486" s="367" t="s">
        <v>6</v>
      </c>
      <c r="F1486" s="389" t="s">
        <v>2452</v>
      </c>
      <c r="G1486" s="385">
        <v>45670</v>
      </c>
      <c r="H1486" s="367" t="s">
        <v>11</v>
      </c>
      <c r="I1486" s="368" t="str">
        <f>VLOOKUP(H1486,'Source Codes'!A$2:B$115,2,FALSE)</f>
        <v>AR Payments</v>
      </c>
      <c r="J1486" s="412">
        <v>1274974.94</v>
      </c>
      <c r="K1486" s="385">
        <v>45670</v>
      </c>
      <c r="L1486" s="387" t="s">
        <v>2187</v>
      </c>
      <c r="M1486" s="390">
        <v>45670.751909722225</v>
      </c>
      <c r="N1486" s="367" t="s">
        <v>356</v>
      </c>
      <c r="O1486" s="368" t="s">
        <v>357</v>
      </c>
      <c r="P1486" s="367" t="str">
        <f>IF(J1486&gt;0,"Revenue",IF(J1486&lt;0,"Expense"))</f>
        <v>Revenue</v>
      </c>
      <c r="Q1486" s="366" t="s">
        <v>2157</v>
      </c>
      <c r="R1486" s="366" t="s">
        <v>2157</v>
      </c>
      <c r="S1486" s="366">
        <v>118501</v>
      </c>
    </row>
    <row r="1487" spans="1:19" ht="30" hidden="1" outlineLevel="1">
      <c r="B1487" s="384">
        <v>2025</v>
      </c>
      <c r="C1487" s="384">
        <v>7</v>
      </c>
      <c r="D1487" s="367" t="s">
        <v>5</v>
      </c>
      <c r="E1487" s="367" t="s">
        <v>6</v>
      </c>
      <c r="F1487" s="389" t="s">
        <v>2453</v>
      </c>
      <c r="G1487" s="385">
        <v>45667</v>
      </c>
      <c r="H1487" s="367" t="s">
        <v>16</v>
      </c>
      <c r="I1487" s="368" t="str">
        <f>VLOOKUP(H1487,'Source Codes'!A$2:B$115,2,FALSE)</f>
        <v>Property Tax Interface</v>
      </c>
      <c r="J1487" s="412">
        <v>6537275.5</v>
      </c>
      <c r="K1487" s="385">
        <v>45670</v>
      </c>
      <c r="L1487" s="387" t="s">
        <v>2454</v>
      </c>
      <c r="M1487" s="390">
        <v>45670.687476851854</v>
      </c>
      <c r="N1487" s="367" t="s">
        <v>387</v>
      </c>
      <c r="O1487" s="368" t="s">
        <v>384</v>
      </c>
      <c r="P1487" s="367" t="str">
        <f>IF(J1487&gt;0,"Revenue",IF(J1487&lt;0,"Expense"))</f>
        <v>Revenue</v>
      </c>
      <c r="Q1487" s="366" t="s">
        <v>2946</v>
      </c>
      <c r="R1487" s="366" t="s">
        <v>2459</v>
      </c>
      <c r="S1487" s="366" t="s">
        <v>2460</v>
      </c>
    </row>
    <row r="1488" spans="1:19" ht="12.75" customHeight="1" collapsed="1">
      <c r="J1488" s="413">
        <f>SUM(J1483:J1487)</f>
        <v>-2380329.08</v>
      </c>
    </row>
    <row r="1490" spans="1:19" ht="12.75" customHeight="1">
      <c r="A1490" s="378" t="s">
        <v>2461</v>
      </c>
    </row>
    <row r="1491" spans="1:19" ht="60" hidden="1" outlineLevel="1">
      <c r="B1491" s="384">
        <v>2025</v>
      </c>
      <c r="C1491" s="384">
        <v>7</v>
      </c>
      <c r="D1491" s="367" t="s">
        <v>5</v>
      </c>
      <c r="E1491" s="367" t="s">
        <v>6</v>
      </c>
      <c r="F1491" s="389" t="s">
        <v>2462</v>
      </c>
      <c r="G1491" s="385">
        <v>45673</v>
      </c>
      <c r="H1491" s="367" t="s">
        <v>14</v>
      </c>
      <c r="I1491" s="368" t="str">
        <f>VLOOKUP(H1491,'Source Codes'!A$2:B$115,2,FALSE)</f>
        <v>AP Warrant Issuance</v>
      </c>
      <c r="J1491" s="412">
        <v>-1499766.81</v>
      </c>
      <c r="K1491" s="385">
        <v>45671</v>
      </c>
      <c r="L1491" s="387" t="s">
        <v>2474</v>
      </c>
      <c r="M1491" s="390">
        <v>45671.793993055559</v>
      </c>
      <c r="N1491" s="367" t="s">
        <v>2185</v>
      </c>
      <c r="O1491" s="368" t="s">
        <v>370</v>
      </c>
      <c r="P1491" s="367" t="str">
        <f t="shared" ref="P1491:P1497" si="4">IF(J1491&gt;0,"Revenue",IF(J1491&lt;0,"Expense"))</f>
        <v>Expense</v>
      </c>
      <c r="Q1491" s="366" t="s">
        <v>2212</v>
      </c>
      <c r="R1491" s="366" t="s">
        <v>2213</v>
      </c>
      <c r="S1491" s="366">
        <v>525440</v>
      </c>
    </row>
    <row r="1492" spans="1:19" ht="15" hidden="1" outlineLevel="1">
      <c r="B1492" s="384">
        <v>2025</v>
      </c>
      <c r="C1492" s="384">
        <v>7</v>
      </c>
      <c r="D1492" s="367" t="s">
        <v>5</v>
      </c>
      <c r="E1492" s="367" t="s">
        <v>6</v>
      </c>
      <c r="F1492" s="389" t="s">
        <v>2463</v>
      </c>
      <c r="G1492" s="385">
        <v>45665</v>
      </c>
      <c r="H1492" s="367" t="s">
        <v>337</v>
      </c>
      <c r="I1492" s="368" t="str">
        <f>VLOOKUP(H1492,'Source Codes'!A$2:B$115,2,FALSE)</f>
        <v>Facilities Mngmnt Intfc Jrnls</v>
      </c>
      <c r="J1492" s="412">
        <v>-2388276.35</v>
      </c>
      <c r="K1492" s="385">
        <v>45671</v>
      </c>
      <c r="L1492" s="387" t="s">
        <v>2469</v>
      </c>
      <c r="M1492" s="390">
        <v>45671.409328703703</v>
      </c>
      <c r="N1492" s="367" t="s">
        <v>356</v>
      </c>
      <c r="O1492" s="368" t="s">
        <v>367</v>
      </c>
      <c r="P1492" s="367" t="str">
        <f t="shared" si="4"/>
        <v>Expense</v>
      </c>
      <c r="Q1492" s="366" t="s">
        <v>2337</v>
      </c>
      <c r="R1492" s="366" t="s">
        <v>2475</v>
      </c>
      <c r="S1492" s="366">
        <v>522385</v>
      </c>
    </row>
    <row r="1493" spans="1:19" ht="15" hidden="1" outlineLevel="1">
      <c r="B1493" s="384">
        <v>2025</v>
      </c>
      <c r="C1493" s="384">
        <v>7</v>
      </c>
      <c r="D1493" s="367" t="s">
        <v>5</v>
      </c>
      <c r="E1493" s="367" t="s">
        <v>6</v>
      </c>
      <c r="F1493" s="389" t="s">
        <v>2464</v>
      </c>
      <c r="G1493" s="385">
        <v>45665</v>
      </c>
      <c r="H1493" s="367" t="s">
        <v>7</v>
      </c>
      <c r="I1493" s="368" t="str">
        <f>VLOOKUP(H1493,'Source Codes'!A$2:B$115,2,FALSE)</f>
        <v>HRMS Interface Journals</v>
      </c>
      <c r="J1493" s="412">
        <v>-3011380.52</v>
      </c>
      <c r="K1493" s="385">
        <v>45671</v>
      </c>
      <c r="L1493" s="387" t="s">
        <v>409</v>
      </c>
      <c r="M1493" s="390">
        <v>45671.48642361111</v>
      </c>
      <c r="N1493" s="367" t="s">
        <v>378</v>
      </c>
      <c r="O1493" s="368" t="s">
        <v>379</v>
      </c>
      <c r="P1493" s="367" t="str">
        <f t="shared" si="4"/>
        <v>Expense</v>
      </c>
      <c r="Q1493" s="366" t="s">
        <v>379</v>
      </c>
      <c r="R1493" s="366" t="s">
        <v>2436</v>
      </c>
      <c r="S1493" s="366">
        <v>513120</v>
      </c>
    </row>
    <row r="1494" spans="1:19" ht="30" hidden="1" outlineLevel="1">
      <c r="B1494" s="384">
        <v>2025</v>
      </c>
      <c r="C1494" s="384">
        <v>7</v>
      </c>
      <c r="D1494" s="367" t="s">
        <v>5</v>
      </c>
      <c r="E1494" s="367" t="s">
        <v>6</v>
      </c>
      <c r="F1494" s="389" t="s">
        <v>2465</v>
      </c>
      <c r="G1494" s="385">
        <v>45658</v>
      </c>
      <c r="H1494" s="367" t="s">
        <v>9</v>
      </c>
      <c r="I1494" s="368" t="str">
        <f>VLOOKUP(H1494,'Source Codes'!A$2:B$115,2,FALSE)</f>
        <v>On Line Journal Entries</v>
      </c>
      <c r="J1494" s="412">
        <v>-5190118.1100000003</v>
      </c>
      <c r="K1494" s="385">
        <v>45671</v>
      </c>
      <c r="L1494" s="387" t="s">
        <v>2470</v>
      </c>
      <c r="M1494" s="390">
        <v>45671.870254629626</v>
      </c>
      <c r="N1494" s="367" t="s">
        <v>361</v>
      </c>
      <c r="O1494" s="368" t="s">
        <v>373</v>
      </c>
      <c r="P1494" s="367" t="str">
        <f t="shared" si="4"/>
        <v>Expense</v>
      </c>
      <c r="Q1494" s="366" t="s">
        <v>2476</v>
      </c>
      <c r="R1494" s="366" t="s">
        <v>2477</v>
      </c>
      <c r="S1494" s="366" t="s">
        <v>2478</v>
      </c>
    </row>
    <row r="1495" spans="1:19" ht="30" hidden="1" outlineLevel="1">
      <c r="B1495" s="384">
        <v>2025</v>
      </c>
      <c r="C1495" s="384">
        <v>7</v>
      </c>
      <c r="D1495" s="367" t="s">
        <v>5</v>
      </c>
      <c r="E1495" s="367" t="s">
        <v>6</v>
      </c>
      <c r="F1495" s="389" t="s">
        <v>2466</v>
      </c>
      <c r="G1495" s="385">
        <v>45670</v>
      </c>
      <c r="H1495" s="367" t="s">
        <v>9</v>
      </c>
      <c r="I1495" s="368" t="str">
        <f>VLOOKUP(H1495,'Source Codes'!A$2:B$115,2,FALSE)</f>
        <v>On Line Journal Entries</v>
      </c>
      <c r="J1495" s="412">
        <v>-5247489</v>
      </c>
      <c r="K1495" s="385">
        <v>45671</v>
      </c>
      <c r="L1495" s="387" t="s">
        <v>2471</v>
      </c>
      <c r="M1495" s="390">
        <v>45671.63795138889</v>
      </c>
      <c r="N1495" s="367" t="s">
        <v>2185</v>
      </c>
      <c r="O1495" s="368" t="s">
        <v>358</v>
      </c>
      <c r="P1495" s="367" t="str">
        <f t="shared" si="4"/>
        <v>Expense</v>
      </c>
      <c r="Q1495" s="366" t="s">
        <v>2479</v>
      </c>
      <c r="R1495" s="366" t="s">
        <v>2479</v>
      </c>
      <c r="S1495" s="366">
        <v>551100</v>
      </c>
    </row>
    <row r="1496" spans="1:19" ht="15" hidden="1" outlineLevel="1">
      <c r="B1496" s="384">
        <v>2025</v>
      </c>
      <c r="C1496" s="384">
        <v>7</v>
      </c>
      <c r="D1496" s="367" t="s">
        <v>5</v>
      </c>
      <c r="E1496" s="367" t="s">
        <v>6</v>
      </c>
      <c r="F1496" s="389" t="s">
        <v>2467</v>
      </c>
      <c r="G1496" s="385">
        <v>45659</v>
      </c>
      <c r="H1496" s="367" t="s">
        <v>13</v>
      </c>
      <c r="I1496" s="368" t="str">
        <f>VLOOKUP(H1496,'Source Codes'!A$2:B$115,2,FALSE)</f>
        <v>C-IV Voucher/Payments/EBT</v>
      </c>
      <c r="J1496" s="412">
        <v>-16785230.48</v>
      </c>
      <c r="K1496" s="385">
        <v>45671</v>
      </c>
      <c r="L1496" s="387" t="s">
        <v>2472</v>
      </c>
      <c r="M1496" s="390">
        <v>45671.87027777778</v>
      </c>
      <c r="N1496" s="367" t="s">
        <v>356</v>
      </c>
      <c r="O1496" s="368" t="s">
        <v>364</v>
      </c>
      <c r="P1496" s="367" t="str">
        <f t="shared" si="4"/>
        <v>Expense</v>
      </c>
      <c r="Q1496" s="366" t="s">
        <v>2204</v>
      </c>
      <c r="R1496" s="393">
        <v>45627</v>
      </c>
      <c r="S1496" s="366">
        <v>530480</v>
      </c>
    </row>
    <row r="1497" spans="1:19" ht="30" hidden="1" outlineLevel="1">
      <c r="B1497" s="384">
        <v>2025</v>
      </c>
      <c r="C1497" s="384">
        <v>7</v>
      </c>
      <c r="D1497" s="367" t="s">
        <v>5</v>
      </c>
      <c r="E1497" s="367" t="s">
        <v>6</v>
      </c>
      <c r="F1497" s="389" t="s">
        <v>2468</v>
      </c>
      <c r="G1497" s="385">
        <v>45665</v>
      </c>
      <c r="H1497" s="367" t="s">
        <v>9</v>
      </c>
      <c r="I1497" s="368" t="str">
        <f>VLOOKUP(H1497,'Source Codes'!A$2:B$115,2,FALSE)</f>
        <v>On Line Journal Entries</v>
      </c>
      <c r="J1497" s="412">
        <v>-17168063</v>
      </c>
      <c r="K1497" s="385">
        <v>45671</v>
      </c>
      <c r="L1497" s="387" t="s">
        <v>2473</v>
      </c>
      <c r="M1497" s="390">
        <v>45671.38008101852</v>
      </c>
      <c r="N1497" s="367" t="s">
        <v>507</v>
      </c>
      <c r="O1497" s="368" t="s">
        <v>384</v>
      </c>
      <c r="P1497" s="367" t="str">
        <f t="shared" si="4"/>
        <v>Expense</v>
      </c>
      <c r="Q1497" s="366" t="s">
        <v>2266</v>
      </c>
      <c r="R1497" s="366" t="s">
        <v>2480</v>
      </c>
      <c r="S1497" s="366">
        <v>781000</v>
      </c>
    </row>
    <row r="1498" spans="1:19" ht="12.75" customHeight="1" collapsed="1">
      <c r="J1498" s="413">
        <f>SUM(J1491:J1497)</f>
        <v>-51290324.269999996</v>
      </c>
    </row>
    <row r="1500" spans="1:19" ht="12.75" customHeight="1">
      <c r="A1500" s="378" t="s">
        <v>2481</v>
      </c>
    </row>
    <row r="1501" spans="1:19" ht="30" hidden="1" outlineLevel="1">
      <c r="B1501" s="384">
        <v>2025</v>
      </c>
      <c r="C1501" s="384">
        <v>7</v>
      </c>
      <c r="D1501" s="367" t="s">
        <v>5</v>
      </c>
      <c r="E1501" s="367" t="s">
        <v>6</v>
      </c>
      <c r="F1501" s="389" t="s">
        <v>2482</v>
      </c>
      <c r="G1501" s="385">
        <v>45672</v>
      </c>
      <c r="H1501" s="367" t="s">
        <v>14</v>
      </c>
      <c r="I1501" s="368" t="str">
        <f>VLOOKUP(H1501,'Source Codes'!A$2:B$115,2,FALSE)</f>
        <v>AP Warrant Issuance</v>
      </c>
      <c r="J1501" s="412">
        <v>-1919243.36</v>
      </c>
      <c r="K1501" s="385">
        <v>45672</v>
      </c>
      <c r="L1501" s="387" t="s">
        <v>2488</v>
      </c>
      <c r="M1501" s="390">
        <v>45672.793819444443</v>
      </c>
      <c r="N1501" s="367" t="s">
        <v>356</v>
      </c>
      <c r="O1501" s="368" t="s">
        <v>368</v>
      </c>
      <c r="P1501" s="367" t="str">
        <f>IF(J1501&gt;0,"Revenue",IF(J1501&lt;0,"Expense"))</f>
        <v>Expense</v>
      </c>
      <c r="Q1501" s="366" t="s">
        <v>2154</v>
      </c>
      <c r="R1501" s="366" t="s">
        <v>2154</v>
      </c>
      <c r="S1501" s="366" t="s">
        <v>303</v>
      </c>
    </row>
    <row r="1502" spans="1:19" ht="60" hidden="1" outlineLevel="1">
      <c r="B1502" s="384">
        <v>2025</v>
      </c>
      <c r="C1502" s="384">
        <v>7</v>
      </c>
      <c r="D1502" s="367" t="s">
        <v>5</v>
      </c>
      <c r="E1502" s="367" t="s">
        <v>6</v>
      </c>
      <c r="F1502" s="389" t="s">
        <v>2483</v>
      </c>
      <c r="G1502" s="385">
        <v>45674</v>
      </c>
      <c r="H1502" s="367" t="s">
        <v>14</v>
      </c>
      <c r="I1502" s="368" t="str">
        <f>VLOOKUP(H1502,'Source Codes'!A$2:B$115,2,FALSE)</f>
        <v>AP Warrant Issuance</v>
      </c>
      <c r="J1502" s="412">
        <v>-1456035.3</v>
      </c>
      <c r="K1502" s="385">
        <v>45672</v>
      </c>
      <c r="L1502" s="387" t="s">
        <v>2489</v>
      </c>
      <c r="M1502" s="390">
        <v>45672.793819444443</v>
      </c>
      <c r="N1502" s="367" t="s">
        <v>356</v>
      </c>
      <c r="O1502" s="368" t="s">
        <v>370</v>
      </c>
      <c r="P1502" s="367" t="str">
        <f>IF(J1502&gt;0,"Revenue",IF(J1502&lt;0,"Expense"))</f>
        <v>Expense</v>
      </c>
      <c r="Q1502" s="366" t="s">
        <v>2212</v>
      </c>
      <c r="R1502" s="366" t="s">
        <v>2213</v>
      </c>
      <c r="S1502" s="366">
        <v>524860</v>
      </c>
    </row>
    <row r="1503" spans="1:19" ht="15" hidden="1" outlineLevel="1">
      <c r="B1503" s="384">
        <v>2025</v>
      </c>
      <c r="C1503" s="384">
        <v>7</v>
      </c>
      <c r="D1503" s="367" t="s">
        <v>5</v>
      </c>
      <c r="E1503" s="367" t="s">
        <v>6</v>
      </c>
      <c r="F1503" s="389" t="s">
        <v>2484</v>
      </c>
      <c r="G1503" s="385">
        <v>45672</v>
      </c>
      <c r="H1503" s="367" t="s">
        <v>9</v>
      </c>
      <c r="I1503" s="368" t="str">
        <f>VLOOKUP(H1503,'Source Codes'!A$2:B$115,2,FALSE)</f>
        <v>On Line Journal Entries</v>
      </c>
      <c r="J1503" s="412">
        <v>27500000</v>
      </c>
      <c r="K1503" s="385">
        <v>45672</v>
      </c>
      <c r="L1503" s="387" t="s">
        <v>2487</v>
      </c>
      <c r="M1503" s="390">
        <v>45672.531226851854</v>
      </c>
      <c r="N1503" s="367" t="s">
        <v>377</v>
      </c>
      <c r="O1503" s="368" t="s">
        <v>371</v>
      </c>
      <c r="P1503" s="367" t="str">
        <f>IF(J1503&gt;0,"Revenue",IF(J1503&lt;0,"Expense"))</f>
        <v>Revenue</v>
      </c>
      <c r="Q1503" s="366" t="s">
        <v>252</v>
      </c>
      <c r="R1503" s="366" t="s">
        <v>252</v>
      </c>
      <c r="S1503" s="366">
        <v>733030</v>
      </c>
    </row>
    <row r="1504" spans="1:19" ht="15" hidden="1" outlineLevel="1">
      <c r="B1504" s="384">
        <v>2025</v>
      </c>
      <c r="C1504" s="384">
        <v>7</v>
      </c>
      <c r="D1504" s="367" t="s">
        <v>5</v>
      </c>
      <c r="E1504" s="367" t="s">
        <v>6</v>
      </c>
      <c r="F1504" s="389" t="s">
        <v>2485</v>
      </c>
      <c r="G1504" s="385">
        <v>45665</v>
      </c>
      <c r="H1504" s="367" t="s">
        <v>7</v>
      </c>
      <c r="I1504" s="368" t="str">
        <f>VLOOKUP(H1504,'Source Codes'!A$2:B$115,2,FALSE)</f>
        <v>HRMS Interface Journals</v>
      </c>
      <c r="J1504" s="412">
        <v>-10747694.109999999</v>
      </c>
      <c r="K1504" s="385">
        <v>45672</v>
      </c>
      <c r="L1504" s="387" t="s">
        <v>407</v>
      </c>
      <c r="M1504" s="390">
        <v>45672.32472222222</v>
      </c>
      <c r="N1504" s="367" t="s">
        <v>378</v>
      </c>
      <c r="O1504" s="368" t="s">
        <v>379</v>
      </c>
      <c r="P1504" s="367" t="str">
        <f>IF(J1504&gt;0,"Revenue",IF(J1504&lt;0,"Expense"))</f>
        <v>Expense</v>
      </c>
      <c r="Q1504" s="366" t="s">
        <v>379</v>
      </c>
      <c r="R1504" s="366" t="s">
        <v>2436</v>
      </c>
      <c r="S1504" s="366" t="s">
        <v>303</v>
      </c>
    </row>
    <row r="1505" spans="1:19" ht="15" hidden="1" outlineLevel="1">
      <c r="B1505" s="384">
        <v>2025</v>
      </c>
      <c r="C1505" s="384">
        <v>7</v>
      </c>
      <c r="D1505" s="367" t="s">
        <v>5</v>
      </c>
      <c r="E1505" s="367" t="s">
        <v>6</v>
      </c>
      <c r="F1505" s="389" t="s">
        <v>2486</v>
      </c>
      <c r="G1505" s="385">
        <v>45665</v>
      </c>
      <c r="H1505" s="367" t="s">
        <v>7</v>
      </c>
      <c r="I1505" s="368" t="str">
        <f>VLOOKUP(H1505,'Source Codes'!A$2:B$115,2,FALSE)</f>
        <v>HRMS Interface Journals</v>
      </c>
      <c r="J1505" s="412">
        <v>-78183350.519999996</v>
      </c>
      <c r="K1505" s="385">
        <v>45672</v>
      </c>
      <c r="L1505" s="387" t="s">
        <v>406</v>
      </c>
      <c r="M1505" s="390">
        <v>45672.327013888891</v>
      </c>
      <c r="N1505" s="367" t="s">
        <v>378</v>
      </c>
      <c r="O1505" s="368" t="s">
        <v>371</v>
      </c>
      <c r="P1505" s="367" t="str">
        <f>IF(J1505&gt;0,"Revenue",IF(J1505&lt;0,"Expense"))</f>
        <v>Expense</v>
      </c>
      <c r="Q1505" s="366" t="s">
        <v>379</v>
      </c>
      <c r="R1505" s="366" t="s">
        <v>2436</v>
      </c>
      <c r="S1505" s="366" t="s">
        <v>303</v>
      </c>
    </row>
    <row r="1506" spans="1:19" ht="12.75" customHeight="1" collapsed="1">
      <c r="J1506" s="413">
        <f>SUM(J1501:J1505)</f>
        <v>-64806323.289999992</v>
      </c>
    </row>
    <row r="1508" spans="1:19" ht="12.75" customHeight="1">
      <c r="A1508" s="378" t="s">
        <v>2490</v>
      </c>
    </row>
    <row r="1509" spans="1:19" ht="30" hidden="1" outlineLevel="1">
      <c r="B1509" s="384">
        <v>2025</v>
      </c>
      <c r="C1509" s="384">
        <v>7</v>
      </c>
      <c r="D1509" s="367" t="s">
        <v>5</v>
      </c>
      <c r="E1509" s="367" t="s">
        <v>6</v>
      </c>
      <c r="F1509" s="389" t="s">
        <v>2491</v>
      </c>
      <c r="G1509" s="385">
        <v>45673</v>
      </c>
      <c r="H1509" s="367" t="s">
        <v>14</v>
      </c>
      <c r="I1509" s="368" t="str">
        <f>VLOOKUP(H1509,'Source Codes'!A$2:B$115,2,FALSE)</f>
        <v>AP Warrant Issuance</v>
      </c>
      <c r="J1509" s="412">
        <v>-1923840.92</v>
      </c>
      <c r="K1509" s="385">
        <v>45673</v>
      </c>
      <c r="L1509" s="387" t="s">
        <v>2497</v>
      </c>
      <c r="M1509" s="390">
        <v>45673.794733796298</v>
      </c>
      <c r="N1509" s="367" t="s">
        <v>356</v>
      </c>
      <c r="O1509" s="368" t="s">
        <v>368</v>
      </c>
      <c r="P1509" s="367" t="str">
        <f>IF(J1509&gt;0,"Revenue",IF(J1509&lt;0,"Expense"))</f>
        <v>Expense</v>
      </c>
      <c r="Q1509" s="366" t="s">
        <v>2154</v>
      </c>
      <c r="R1509" s="366" t="s">
        <v>2154</v>
      </c>
      <c r="S1509" s="366" t="s">
        <v>303</v>
      </c>
    </row>
    <row r="1510" spans="1:19" ht="30" hidden="1" outlineLevel="1">
      <c r="B1510" s="384">
        <v>2025</v>
      </c>
      <c r="C1510" s="384">
        <v>7</v>
      </c>
      <c r="D1510" s="367" t="s">
        <v>5</v>
      </c>
      <c r="E1510" s="367" t="s">
        <v>6</v>
      </c>
      <c r="F1510" s="389" t="s">
        <v>2492</v>
      </c>
      <c r="G1510" s="385">
        <v>45678</v>
      </c>
      <c r="H1510" s="367" t="s">
        <v>14</v>
      </c>
      <c r="I1510" s="368" t="str">
        <f>VLOOKUP(H1510,'Source Codes'!A$2:B$115,2,FALSE)</f>
        <v>AP Warrant Issuance</v>
      </c>
      <c r="J1510" s="412">
        <v>-1838077.25</v>
      </c>
      <c r="K1510" s="385">
        <v>45673</v>
      </c>
      <c r="L1510" s="387" t="s">
        <v>2498</v>
      </c>
      <c r="M1510" s="390">
        <v>45673.794733796298</v>
      </c>
      <c r="N1510" s="367" t="s">
        <v>356</v>
      </c>
      <c r="O1510" s="368" t="s">
        <v>368</v>
      </c>
      <c r="P1510" s="367" t="str">
        <f>IF(J1510&gt;0,"Revenue",IF(J1510&lt;0,"Expense"))</f>
        <v>Expense</v>
      </c>
      <c r="Q1510" s="366" t="s">
        <v>2154</v>
      </c>
      <c r="R1510" s="366" t="s">
        <v>2154</v>
      </c>
      <c r="S1510" s="366" t="s">
        <v>303</v>
      </c>
    </row>
    <row r="1511" spans="1:19" ht="30" hidden="1" outlineLevel="1">
      <c r="B1511" s="384">
        <v>2025</v>
      </c>
      <c r="C1511" s="384">
        <v>7</v>
      </c>
      <c r="D1511" s="367" t="s">
        <v>5</v>
      </c>
      <c r="E1511" s="367" t="s">
        <v>6</v>
      </c>
      <c r="F1511" s="389" t="s">
        <v>2493</v>
      </c>
      <c r="G1511" s="385">
        <v>45673</v>
      </c>
      <c r="H1511" s="367" t="s">
        <v>11</v>
      </c>
      <c r="I1511" s="368" t="str">
        <f>VLOOKUP(H1511,'Source Codes'!A$2:B$115,2,FALSE)</f>
        <v>AR Payments</v>
      </c>
      <c r="J1511" s="412">
        <v>3979675.14</v>
      </c>
      <c r="K1511" s="385">
        <v>45673</v>
      </c>
      <c r="L1511" s="387" t="s">
        <v>2499</v>
      </c>
      <c r="M1511" s="390">
        <v>45673.751909722225</v>
      </c>
      <c r="N1511" s="367" t="s">
        <v>356</v>
      </c>
      <c r="O1511" s="368" t="s">
        <v>357</v>
      </c>
      <c r="P1511" s="367" t="str">
        <f>IF(J1511&gt;0,"Revenue",IF(J1511&lt;0,"Expense"))</f>
        <v>Revenue</v>
      </c>
      <c r="Q1511" s="366" t="s">
        <v>2157</v>
      </c>
      <c r="R1511" s="366" t="s">
        <v>2157</v>
      </c>
      <c r="S1511" s="366">
        <v>118501</v>
      </c>
    </row>
    <row r="1512" spans="1:19" ht="30" hidden="1" outlineLevel="1">
      <c r="B1512" s="384">
        <v>2025</v>
      </c>
      <c r="C1512" s="384">
        <v>7</v>
      </c>
      <c r="D1512" s="367" t="s">
        <v>5</v>
      </c>
      <c r="E1512" s="367" t="s">
        <v>6</v>
      </c>
      <c r="F1512" s="389" t="s">
        <v>2494</v>
      </c>
      <c r="G1512" s="385">
        <v>45671</v>
      </c>
      <c r="H1512" s="367" t="s">
        <v>16</v>
      </c>
      <c r="I1512" s="368" t="str">
        <f>VLOOKUP(H1512,'Source Codes'!A$2:B$115,2,FALSE)</f>
        <v>Property Tax Interface</v>
      </c>
      <c r="J1512" s="412">
        <v>8114861.0700000003</v>
      </c>
      <c r="K1512" s="385">
        <v>45673</v>
      </c>
      <c r="L1512" s="387" t="s">
        <v>2496</v>
      </c>
      <c r="M1512" s="390">
        <v>45673.50371527778</v>
      </c>
      <c r="N1512" s="367" t="s">
        <v>361</v>
      </c>
      <c r="O1512" s="368" t="s">
        <v>384</v>
      </c>
      <c r="P1512" s="367" t="str">
        <f>IF(J1512&gt;0,"Revenue",IF(J1512&lt;0,"Expense"))</f>
        <v>Revenue</v>
      </c>
      <c r="Q1512" s="366" t="s">
        <v>2506</v>
      </c>
      <c r="R1512" s="366" t="s">
        <v>2507</v>
      </c>
      <c r="S1512" s="366"/>
    </row>
    <row r="1513" spans="1:19" ht="45" hidden="1" outlineLevel="1">
      <c r="B1513" s="384">
        <v>2025</v>
      </c>
      <c r="C1513" s="384">
        <v>7</v>
      </c>
      <c r="D1513" s="367" t="s">
        <v>5</v>
      </c>
      <c r="E1513" s="367" t="s">
        <v>6</v>
      </c>
      <c r="F1513" s="389" t="s">
        <v>2495</v>
      </c>
      <c r="G1513" s="385">
        <v>45670</v>
      </c>
      <c r="H1513" s="367" t="s">
        <v>9</v>
      </c>
      <c r="I1513" s="368" t="str">
        <f>VLOOKUP(H1513,'Source Codes'!A$2:B$115,2,FALSE)</f>
        <v>On Line Journal Entries</v>
      </c>
      <c r="J1513" s="412">
        <v>-3291860</v>
      </c>
      <c r="K1513" s="385">
        <v>45673</v>
      </c>
      <c r="L1513" s="387" t="s">
        <v>2509</v>
      </c>
      <c r="M1513" s="390">
        <v>45673.579965277779</v>
      </c>
      <c r="N1513" s="367" t="s">
        <v>2185</v>
      </c>
      <c r="O1513" s="368" t="s">
        <v>358</v>
      </c>
      <c r="P1513" s="367" t="str">
        <f>IF(J1513&gt;0,"Revenue",IF(J1513&lt;0,"Expense"))</f>
        <v>Expense</v>
      </c>
      <c r="Q1513" s="366" t="s">
        <v>2508</v>
      </c>
      <c r="R1513" s="366" t="s">
        <v>2508</v>
      </c>
      <c r="S1513" s="366">
        <v>551100</v>
      </c>
    </row>
    <row r="1514" spans="1:19" ht="12.75" customHeight="1" collapsed="1">
      <c r="J1514" s="413">
        <f>SUM(J1509:J1513)</f>
        <v>5040758.040000001</v>
      </c>
      <c r="K1514" s="385"/>
    </row>
    <row r="1516" spans="1:19" ht="12.75" customHeight="1">
      <c r="A1516" s="378" t="s">
        <v>2500</v>
      </c>
    </row>
    <row r="1517" spans="1:19" ht="30" hidden="1" outlineLevel="1">
      <c r="B1517" s="384">
        <v>2025</v>
      </c>
      <c r="C1517" s="384">
        <v>7</v>
      </c>
      <c r="D1517" s="367" t="s">
        <v>5</v>
      </c>
      <c r="E1517" s="367" t="s">
        <v>6</v>
      </c>
      <c r="F1517" s="389" t="s">
        <v>2501</v>
      </c>
      <c r="G1517" s="385">
        <v>45673</v>
      </c>
      <c r="H1517" s="367" t="s">
        <v>12</v>
      </c>
      <c r="I1517" s="368" t="str">
        <f>VLOOKUP(H1517,'Source Codes'!A$2:B$115,2,FALSE)</f>
        <v>AR Direct Cash Journal</v>
      </c>
      <c r="J1517" s="412">
        <v>6417644.0099999998</v>
      </c>
      <c r="K1517" s="385">
        <v>45674</v>
      </c>
      <c r="L1517" s="387" t="s">
        <v>2510</v>
      </c>
      <c r="M1517" s="390">
        <v>45674.751747685186</v>
      </c>
      <c r="N1517" s="367" t="s">
        <v>356</v>
      </c>
      <c r="O1517" s="368" t="s">
        <v>370</v>
      </c>
      <c r="P1517" s="367" t="str">
        <f>IF(J1517&gt;0,"Revenue",IF(J1517&lt;0,"Expense"))</f>
        <v>Revenue</v>
      </c>
      <c r="Q1517" s="366" t="s">
        <v>2264</v>
      </c>
      <c r="R1517" s="366" t="s">
        <v>2265</v>
      </c>
      <c r="S1517" s="395">
        <v>779170</v>
      </c>
    </row>
    <row r="1518" spans="1:19" ht="45" hidden="1" outlineLevel="1">
      <c r="B1518" s="384">
        <v>2025</v>
      </c>
      <c r="C1518" s="384">
        <v>7</v>
      </c>
      <c r="D1518" s="367" t="s">
        <v>5</v>
      </c>
      <c r="E1518" s="367" t="s">
        <v>6</v>
      </c>
      <c r="F1518" s="389" t="s">
        <v>2502</v>
      </c>
      <c r="G1518" s="385">
        <v>45660</v>
      </c>
      <c r="H1518" s="367" t="s">
        <v>12</v>
      </c>
      <c r="I1518" s="368" t="str">
        <f>VLOOKUP(H1518,'Source Codes'!A$2:B$115,2,FALSE)</f>
        <v>AR Direct Cash Journal</v>
      </c>
      <c r="J1518" s="412">
        <v>16452417.039999999</v>
      </c>
      <c r="K1518" s="385">
        <v>45674</v>
      </c>
      <c r="L1518" s="387" t="s">
        <v>2519</v>
      </c>
      <c r="M1518" s="390">
        <v>45674.751747685186</v>
      </c>
      <c r="N1518" s="367" t="s">
        <v>356</v>
      </c>
      <c r="O1518" s="368" t="s">
        <v>368</v>
      </c>
      <c r="P1518" s="367" t="str">
        <f>IF(J1518&gt;0,"Revenue",IF(J1518&lt;0,"Expense"))</f>
        <v>Revenue</v>
      </c>
      <c r="Q1518" s="366" t="s">
        <v>2177</v>
      </c>
      <c r="R1518" s="366" t="s">
        <v>2214</v>
      </c>
      <c r="S1518" s="395" t="s">
        <v>203</v>
      </c>
    </row>
    <row r="1519" spans="1:19" ht="30" hidden="1" outlineLevel="1">
      <c r="B1519" s="384">
        <v>2025</v>
      </c>
      <c r="C1519" s="384">
        <v>7</v>
      </c>
      <c r="D1519" s="367" t="s">
        <v>5</v>
      </c>
      <c r="E1519" s="367" t="s">
        <v>6</v>
      </c>
      <c r="F1519" s="389" t="s">
        <v>2503</v>
      </c>
      <c r="G1519" s="385">
        <v>45674</v>
      </c>
      <c r="H1519" s="367" t="s">
        <v>12</v>
      </c>
      <c r="I1519" s="368" t="str">
        <f>VLOOKUP(H1519,'Source Codes'!A$2:B$115,2,FALSE)</f>
        <v>AR Direct Cash Journal</v>
      </c>
      <c r="J1519" s="412">
        <v>162641597.46000001</v>
      </c>
      <c r="K1519" s="385">
        <v>45674</v>
      </c>
      <c r="L1519" s="387" t="s">
        <v>2511</v>
      </c>
      <c r="M1519" s="390">
        <v>45674.751747685186</v>
      </c>
      <c r="N1519" s="367" t="s">
        <v>387</v>
      </c>
      <c r="O1519" s="368" t="s">
        <v>358</v>
      </c>
      <c r="P1519" s="367" t="str">
        <f>IF(J1519&gt;0,"Revenue",IF(J1519&lt;0,"Expense"))</f>
        <v>Revenue</v>
      </c>
      <c r="Q1519" s="366" t="s">
        <v>2512</v>
      </c>
      <c r="R1519" s="366" t="s">
        <v>2513</v>
      </c>
      <c r="S1519" s="395">
        <v>101500</v>
      </c>
    </row>
    <row r="1520" spans="1:19" ht="30" hidden="1" outlineLevel="1">
      <c r="B1520" s="384">
        <v>2025</v>
      </c>
      <c r="C1520" s="384">
        <v>7</v>
      </c>
      <c r="D1520" s="367" t="s">
        <v>5</v>
      </c>
      <c r="E1520" s="367" t="s">
        <v>6</v>
      </c>
      <c r="F1520" s="389" t="s">
        <v>2504</v>
      </c>
      <c r="G1520" s="385">
        <v>45658</v>
      </c>
      <c r="H1520" s="367" t="s">
        <v>9</v>
      </c>
      <c r="I1520" s="368" t="str">
        <f>VLOOKUP(H1520,'Source Codes'!A$2:B$115,2,FALSE)</f>
        <v>On Line Journal Entries</v>
      </c>
      <c r="J1520" s="412">
        <v>-5075223.83</v>
      </c>
      <c r="K1520" s="385">
        <v>45674</v>
      </c>
      <c r="L1520" s="387" t="s">
        <v>2515</v>
      </c>
      <c r="M1520" s="390">
        <v>45674.645011574074</v>
      </c>
      <c r="N1520" s="367" t="s">
        <v>356</v>
      </c>
      <c r="O1520" s="368" t="s">
        <v>374</v>
      </c>
      <c r="P1520" s="367" t="str">
        <f>IF(J1520&gt;0,"Revenue",IF(J1520&lt;0,"Expense"))</f>
        <v>Expense</v>
      </c>
      <c r="Q1520" s="366" t="s">
        <v>2202</v>
      </c>
      <c r="R1520" s="366" t="s">
        <v>2516</v>
      </c>
      <c r="S1520" s="395">
        <v>525840</v>
      </c>
    </row>
    <row r="1521" spans="1:19" ht="15" hidden="1" outlineLevel="1">
      <c r="B1521" s="384">
        <v>2025</v>
      </c>
      <c r="C1521" s="384">
        <v>7</v>
      </c>
      <c r="D1521" s="367" t="s">
        <v>5</v>
      </c>
      <c r="E1521" s="367" t="s">
        <v>6</v>
      </c>
      <c r="F1521" s="389" t="s">
        <v>2505</v>
      </c>
      <c r="G1521" s="385">
        <v>45658</v>
      </c>
      <c r="H1521" s="367" t="s">
        <v>9</v>
      </c>
      <c r="I1521" s="368" t="str">
        <f>VLOOKUP(H1521,'Source Codes'!A$2:B$115,2,FALSE)</f>
        <v>On Line Journal Entries</v>
      </c>
      <c r="J1521" s="412">
        <v>-12248033.939999999</v>
      </c>
      <c r="K1521" s="385">
        <v>45674</v>
      </c>
      <c r="L1521" s="387" t="s">
        <v>2514</v>
      </c>
      <c r="M1521" s="390">
        <v>45674.870266203703</v>
      </c>
      <c r="N1521" s="367" t="s">
        <v>361</v>
      </c>
      <c r="O1521" s="368" t="s">
        <v>373</v>
      </c>
      <c r="P1521" s="367" t="str">
        <f>IF(J1521&gt;0,"Revenue",IF(J1521&lt;0,"Expense"))</f>
        <v>Expense</v>
      </c>
      <c r="Q1521" s="366" t="s">
        <v>2517</v>
      </c>
      <c r="R1521" s="366" t="s">
        <v>2518</v>
      </c>
      <c r="S1521" s="395">
        <v>517000</v>
      </c>
    </row>
    <row r="1522" spans="1:19" ht="12.75" customHeight="1" collapsed="1">
      <c r="J1522" s="413">
        <f>SUM(J1517:J1521)</f>
        <v>168188400.73999998</v>
      </c>
    </row>
    <row r="1524" spans="1:19" ht="12.75" customHeight="1">
      <c r="A1524" s="378" t="s">
        <v>2520</v>
      </c>
    </row>
    <row r="1525" spans="1:19" ht="60" hidden="1" outlineLevel="1">
      <c r="B1525" s="384">
        <v>2025</v>
      </c>
      <c r="C1525" s="384">
        <v>7</v>
      </c>
      <c r="D1525" s="367" t="s">
        <v>5</v>
      </c>
      <c r="E1525" s="367" t="s">
        <v>6</v>
      </c>
      <c r="F1525" s="389" t="s">
        <v>2521</v>
      </c>
      <c r="G1525" s="385">
        <v>45678</v>
      </c>
      <c r="H1525" s="367" t="s">
        <v>11</v>
      </c>
      <c r="I1525" s="368" t="str">
        <f>VLOOKUP(H1525,'Source Codes'!A$2:B$115,2,FALSE)</f>
        <v>AR Payments</v>
      </c>
      <c r="J1525" s="412">
        <v>1173534.8</v>
      </c>
      <c r="K1525" s="385">
        <v>45678</v>
      </c>
      <c r="L1525" s="387" t="s">
        <v>2530</v>
      </c>
      <c r="M1525" s="390">
        <v>45678.75204861111</v>
      </c>
      <c r="N1525" s="367" t="s">
        <v>356</v>
      </c>
      <c r="O1525" s="368" t="s">
        <v>357</v>
      </c>
      <c r="P1525" s="367" t="str">
        <f t="shared" ref="P1525:P1531" si="5">IF(J1525&gt;0,"Revenue",IF(J1525&lt;0,"Expense"))</f>
        <v>Revenue</v>
      </c>
      <c r="Q1525" s="366" t="s">
        <v>2157</v>
      </c>
      <c r="R1525" s="366" t="s">
        <v>2157</v>
      </c>
      <c r="S1525" s="395" t="s">
        <v>2531</v>
      </c>
    </row>
    <row r="1526" spans="1:19" ht="30" hidden="1" outlineLevel="1">
      <c r="B1526" s="384">
        <v>2025</v>
      </c>
      <c r="C1526" s="384">
        <v>7</v>
      </c>
      <c r="D1526" s="367" t="s">
        <v>5</v>
      </c>
      <c r="E1526" s="367" t="s">
        <v>6</v>
      </c>
      <c r="F1526" s="389" t="s">
        <v>2522</v>
      </c>
      <c r="G1526" s="385">
        <v>45674</v>
      </c>
      <c r="H1526" s="367" t="s">
        <v>11</v>
      </c>
      <c r="I1526" s="368" t="str">
        <f>VLOOKUP(H1526,'Source Codes'!A$2:B$115,2,FALSE)</f>
        <v>AR Payments</v>
      </c>
      <c r="J1526" s="412">
        <v>1526549.48</v>
      </c>
      <c r="K1526" s="385">
        <v>45678</v>
      </c>
      <c r="L1526" s="387" t="s">
        <v>2945</v>
      </c>
      <c r="M1526" s="390">
        <v>45678.75204861111</v>
      </c>
      <c r="N1526" s="367" t="s">
        <v>356</v>
      </c>
      <c r="O1526" s="368" t="s">
        <v>362</v>
      </c>
      <c r="P1526" s="367" t="str">
        <f t="shared" si="5"/>
        <v>Revenue</v>
      </c>
      <c r="Q1526" s="366" t="s">
        <v>2360</v>
      </c>
      <c r="R1526" s="366" t="s">
        <v>2362</v>
      </c>
      <c r="S1526" s="395" t="s">
        <v>2361</v>
      </c>
    </row>
    <row r="1527" spans="1:19" ht="30" hidden="1" outlineLevel="1">
      <c r="B1527" s="384">
        <v>2025</v>
      </c>
      <c r="C1527" s="384">
        <v>7</v>
      </c>
      <c r="D1527" s="367" t="s">
        <v>5</v>
      </c>
      <c r="E1527" s="367" t="s">
        <v>6</v>
      </c>
      <c r="F1527" s="389" t="s">
        <v>2523</v>
      </c>
      <c r="G1527" s="385">
        <v>45673</v>
      </c>
      <c r="H1527" s="367" t="s">
        <v>9</v>
      </c>
      <c r="I1527" s="368" t="str">
        <f>VLOOKUP(H1527,'Source Codes'!A$2:B$115,2,FALSE)</f>
        <v>On Line Journal Entries</v>
      </c>
      <c r="J1527" s="412">
        <v>9889547.9199999999</v>
      </c>
      <c r="K1527" s="385">
        <v>45678</v>
      </c>
      <c r="L1527" s="387" t="s">
        <v>344</v>
      </c>
      <c r="M1527" s="390">
        <v>45678.401319444441</v>
      </c>
      <c r="N1527" s="367" t="s">
        <v>356</v>
      </c>
      <c r="O1527" s="368" t="s">
        <v>364</v>
      </c>
      <c r="P1527" s="367" t="str">
        <f t="shared" si="5"/>
        <v>Revenue</v>
      </c>
      <c r="Q1527" s="366" t="s">
        <v>2232</v>
      </c>
      <c r="R1527" s="366" t="s">
        <v>2232</v>
      </c>
      <c r="S1527" s="395" t="s">
        <v>2532</v>
      </c>
    </row>
    <row r="1528" spans="1:19" ht="30" hidden="1" outlineLevel="1">
      <c r="B1528" s="384">
        <v>2025</v>
      </c>
      <c r="C1528" s="384">
        <v>7</v>
      </c>
      <c r="D1528" s="367" t="s">
        <v>5</v>
      </c>
      <c r="E1528" s="367" t="s">
        <v>6</v>
      </c>
      <c r="F1528" s="389" t="s">
        <v>2524</v>
      </c>
      <c r="G1528" s="385">
        <v>45666</v>
      </c>
      <c r="H1528" s="367" t="s">
        <v>9</v>
      </c>
      <c r="I1528" s="368" t="str">
        <f>VLOOKUP(H1528,'Source Codes'!A$2:B$115,2,FALSE)</f>
        <v>On Line Journal Entries</v>
      </c>
      <c r="J1528" s="412">
        <v>8215381</v>
      </c>
      <c r="K1528" s="385">
        <v>45678</v>
      </c>
      <c r="L1528" s="387" t="s">
        <v>344</v>
      </c>
      <c r="M1528" s="390">
        <v>45678.870127314818</v>
      </c>
      <c r="N1528" s="367" t="s">
        <v>356</v>
      </c>
      <c r="O1528" s="368" t="s">
        <v>364</v>
      </c>
      <c r="P1528" s="367" t="str">
        <f t="shared" si="5"/>
        <v>Revenue</v>
      </c>
      <c r="Q1528" s="366" t="s">
        <v>2232</v>
      </c>
      <c r="R1528" s="366" t="s">
        <v>2232</v>
      </c>
      <c r="S1528" s="395" t="s">
        <v>2533</v>
      </c>
    </row>
    <row r="1529" spans="1:19" ht="30" hidden="1" outlineLevel="1">
      <c r="B1529" s="384">
        <v>2025</v>
      </c>
      <c r="C1529" s="384">
        <v>7</v>
      </c>
      <c r="D1529" s="367" t="s">
        <v>5</v>
      </c>
      <c r="E1529" s="367" t="s">
        <v>6</v>
      </c>
      <c r="F1529" s="389" t="s">
        <v>2525</v>
      </c>
      <c r="G1529" s="385">
        <v>45673</v>
      </c>
      <c r="H1529" s="367" t="s">
        <v>9</v>
      </c>
      <c r="I1529" s="368" t="str">
        <f>VLOOKUP(H1529,'Source Codes'!A$2:B$115,2,FALSE)</f>
        <v>On Line Journal Entries</v>
      </c>
      <c r="J1529" s="412">
        <v>4352469</v>
      </c>
      <c r="K1529" s="385">
        <v>45678</v>
      </c>
      <c r="L1529" s="387" t="s">
        <v>2528</v>
      </c>
      <c r="M1529" s="390">
        <v>45678.689918981479</v>
      </c>
      <c r="N1529" s="367" t="s">
        <v>356</v>
      </c>
      <c r="O1529" s="368" t="s">
        <v>369</v>
      </c>
      <c r="P1529" s="367" t="str">
        <f t="shared" si="5"/>
        <v>Revenue</v>
      </c>
      <c r="Q1529" s="366" t="s">
        <v>2268</v>
      </c>
      <c r="R1529" s="393">
        <v>45444</v>
      </c>
      <c r="S1529" s="395" t="s">
        <v>2534</v>
      </c>
    </row>
    <row r="1530" spans="1:19" ht="30" hidden="1" outlineLevel="1">
      <c r="B1530" s="384">
        <v>2025</v>
      </c>
      <c r="C1530" s="384">
        <v>7</v>
      </c>
      <c r="D1530" s="367" t="s">
        <v>5</v>
      </c>
      <c r="E1530" s="367" t="s">
        <v>6</v>
      </c>
      <c r="F1530" s="389" t="s">
        <v>2526</v>
      </c>
      <c r="G1530" s="385">
        <v>45666</v>
      </c>
      <c r="H1530" s="367" t="s">
        <v>9</v>
      </c>
      <c r="I1530" s="368" t="str">
        <f>VLOOKUP(H1530,'Source Codes'!A$2:B$115,2,FALSE)</f>
        <v>On Line Journal Entries</v>
      </c>
      <c r="J1530" s="412">
        <v>1773399</v>
      </c>
      <c r="K1530" s="385">
        <v>45678</v>
      </c>
      <c r="L1530" s="387" t="s">
        <v>344</v>
      </c>
      <c r="M1530" s="390">
        <v>45678.870127314818</v>
      </c>
      <c r="N1530" s="367" t="s">
        <v>356</v>
      </c>
      <c r="O1530" s="368" t="s">
        <v>364</v>
      </c>
      <c r="P1530" s="367" t="str">
        <f t="shared" si="5"/>
        <v>Revenue</v>
      </c>
      <c r="Q1530" s="366" t="s">
        <v>2232</v>
      </c>
      <c r="R1530" s="366" t="s">
        <v>2232</v>
      </c>
      <c r="S1530" s="395" t="s">
        <v>2533</v>
      </c>
    </row>
    <row r="1531" spans="1:19" ht="30" hidden="1" outlineLevel="1">
      <c r="B1531" s="384">
        <v>2025</v>
      </c>
      <c r="C1531" s="384">
        <v>7</v>
      </c>
      <c r="D1531" s="367" t="s">
        <v>5</v>
      </c>
      <c r="E1531" s="367" t="s">
        <v>6</v>
      </c>
      <c r="F1531" s="389" t="s">
        <v>2527</v>
      </c>
      <c r="G1531" s="385">
        <v>45672</v>
      </c>
      <c r="H1531" s="367" t="s">
        <v>8</v>
      </c>
      <c r="I1531" s="368" t="str">
        <f>VLOOKUP(H1531,'Source Codes'!A$2:B$115,2,FALSE)</f>
        <v>Prch,Cntrl Mail,Flt,Prntg,Sply</v>
      </c>
      <c r="J1531" s="412">
        <v>-2282848.23</v>
      </c>
      <c r="K1531" s="385">
        <v>45678</v>
      </c>
      <c r="L1531" s="387" t="s">
        <v>2529</v>
      </c>
      <c r="M1531" s="390">
        <v>45678.532187500001</v>
      </c>
      <c r="N1531" s="367" t="s">
        <v>356</v>
      </c>
      <c r="O1531" s="368" t="s">
        <v>382</v>
      </c>
      <c r="P1531" s="367" t="str">
        <f t="shared" si="5"/>
        <v>Expense</v>
      </c>
      <c r="Q1531" s="366" t="s">
        <v>2328</v>
      </c>
      <c r="R1531" s="366" t="s">
        <v>2536</v>
      </c>
      <c r="S1531" s="395" t="s">
        <v>2535</v>
      </c>
    </row>
    <row r="1532" spans="1:19" ht="12.75" customHeight="1" collapsed="1">
      <c r="J1532" s="413">
        <f>SUM(J1525:J1531)</f>
        <v>24648032.969999999</v>
      </c>
    </row>
    <row r="1534" spans="1:19" ht="12.75" customHeight="1">
      <c r="A1534" s="378" t="s">
        <v>2537</v>
      </c>
    </row>
    <row r="1535" spans="1:19" ht="30" hidden="1" outlineLevel="1">
      <c r="B1535" s="384">
        <v>2025</v>
      </c>
      <c r="C1535" s="384">
        <v>7</v>
      </c>
      <c r="D1535" s="367" t="s">
        <v>5</v>
      </c>
      <c r="E1535" s="367" t="s">
        <v>6</v>
      </c>
      <c r="F1535" s="389" t="s">
        <v>2538</v>
      </c>
      <c r="G1535" s="385">
        <v>45678</v>
      </c>
      <c r="H1535" s="367" t="s">
        <v>12</v>
      </c>
      <c r="I1535" s="368" t="str">
        <f>VLOOKUP(H1535,'Source Codes'!A$2:B$115,2,FALSE)</f>
        <v>AR Direct Cash Journal</v>
      </c>
      <c r="J1535" s="412">
        <v>1325234.8</v>
      </c>
      <c r="K1535" s="385">
        <v>45679</v>
      </c>
      <c r="L1535" s="387" t="s">
        <v>2545</v>
      </c>
      <c r="M1535" s="390">
        <v>45679.752106481479</v>
      </c>
      <c r="N1535" s="367" t="s">
        <v>356</v>
      </c>
      <c r="O1535" s="368" t="s">
        <v>370</v>
      </c>
      <c r="P1535" s="367" t="str">
        <f>IF(J1535&gt;0,"Revenue",IF(J1535&lt;0,"Expense"))</f>
        <v>Revenue</v>
      </c>
      <c r="Q1535" s="366" t="s">
        <v>2264</v>
      </c>
      <c r="R1535" s="366" t="s">
        <v>2265</v>
      </c>
      <c r="S1535" s="395">
        <v>779060</v>
      </c>
    </row>
    <row r="1536" spans="1:19" ht="30" hidden="1" outlineLevel="1">
      <c r="B1536" s="384">
        <v>2025</v>
      </c>
      <c r="C1536" s="384">
        <v>7</v>
      </c>
      <c r="D1536" s="367" t="s">
        <v>5</v>
      </c>
      <c r="E1536" s="367" t="s">
        <v>6</v>
      </c>
      <c r="F1536" s="389" t="s">
        <v>2539</v>
      </c>
      <c r="G1536" s="385">
        <v>45678</v>
      </c>
      <c r="H1536" s="367" t="s">
        <v>11</v>
      </c>
      <c r="I1536" s="368" t="str">
        <f>VLOOKUP(H1536,'Source Codes'!A$2:B$115,2,FALSE)</f>
        <v>AR Payments</v>
      </c>
      <c r="J1536" s="412">
        <v>1054367.71</v>
      </c>
      <c r="K1536" s="385">
        <v>45679</v>
      </c>
      <c r="L1536" s="387" t="s">
        <v>2547</v>
      </c>
      <c r="M1536" s="390">
        <v>45679.752106481479</v>
      </c>
      <c r="N1536" s="367" t="s">
        <v>356</v>
      </c>
      <c r="O1536" s="368" t="s">
        <v>357</v>
      </c>
      <c r="P1536" s="367" t="str">
        <f>IF(J1536&gt;0,"Revenue",IF(J1536&lt;0,"Expense"))</f>
        <v>Revenue</v>
      </c>
      <c r="Q1536" s="366" t="s">
        <v>2157</v>
      </c>
      <c r="R1536" s="366" t="s">
        <v>2157</v>
      </c>
      <c r="S1536" s="395" t="s">
        <v>2546</v>
      </c>
    </row>
    <row r="1537" spans="1:19" ht="30" hidden="1" outlineLevel="1">
      <c r="B1537" s="384">
        <v>2025</v>
      </c>
      <c r="C1537" s="384">
        <v>7</v>
      </c>
      <c r="D1537" s="367" t="s">
        <v>5</v>
      </c>
      <c r="E1537" s="367" t="s">
        <v>6</v>
      </c>
      <c r="F1537" s="389" t="s">
        <v>2540</v>
      </c>
      <c r="G1537" s="385">
        <v>45672</v>
      </c>
      <c r="H1537" s="367" t="s">
        <v>11</v>
      </c>
      <c r="I1537" s="368" t="str">
        <f>VLOOKUP(H1537,'Source Codes'!A$2:B$115,2,FALSE)</f>
        <v>AR Payments</v>
      </c>
      <c r="J1537" s="412">
        <v>2947003.73</v>
      </c>
      <c r="K1537" s="385">
        <v>45679</v>
      </c>
      <c r="L1537" s="387" t="s">
        <v>2548</v>
      </c>
      <c r="M1537" s="390">
        <v>45679.752106481479</v>
      </c>
      <c r="N1537" s="367" t="s">
        <v>356</v>
      </c>
      <c r="O1537" s="368" t="s">
        <v>357</v>
      </c>
      <c r="P1537" s="367" t="str">
        <f>IF(J1537&gt;0,"Revenue",IF(J1537&lt;0,"Expense"))</f>
        <v>Revenue</v>
      </c>
      <c r="Q1537" s="366" t="s">
        <v>2157</v>
      </c>
      <c r="R1537" s="366" t="s">
        <v>2157</v>
      </c>
      <c r="S1537" s="395" t="s">
        <v>2278</v>
      </c>
    </row>
    <row r="1538" spans="1:19" ht="30" hidden="1" outlineLevel="1">
      <c r="B1538" s="384">
        <v>2025</v>
      </c>
      <c r="C1538" s="384">
        <v>7</v>
      </c>
      <c r="D1538" s="367" t="s">
        <v>5</v>
      </c>
      <c r="E1538" s="367" t="s">
        <v>6</v>
      </c>
      <c r="F1538" s="389" t="s">
        <v>2541</v>
      </c>
      <c r="G1538" s="385">
        <v>45671</v>
      </c>
      <c r="H1538" s="367" t="s">
        <v>337</v>
      </c>
      <c r="I1538" s="368" t="str">
        <f>VLOOKUP(H1538,'Source Codes'!A$2:B$115,2,FALSE)</f>
        <v>Facilities Mngmnt Intfc Jrnls</v>
      </c>
      <c r="J1538" s="412">
        <v>-4222495.5</v>
      </c>
      <c r="K1538" s="385">
        <v>45679</v>
      </c>
      <c r="L1538" s="387" t="s">
        <v>2543</v>
      </c>
      <c r="M1538" s="390">
        <v>45679.570393518516</v>
      </c>
      <c r="N1538" s="367" t="s">
        <v>356</v>
      </c>
      <c r="O1538" s="368" t="s">
        <v>367</v>
      </c>
      <c r="P1538" s="367" t="str">
        <f>IF(J1538&gt;0,"Revenue",IF(J1538&lt;0,"Expense"))</f>
        <v>Expense</v>
      </c>
      <c r="Q1538" s="366" t="s">
        <v>2237</v>
      </c>
      <c r="R1538" s="366" t="s">
        <v>2549</v>
      </c>
      <c r="S1538" s="395" t="s">
        <v>2239</v>
      </c>
    </row>
    <row r="1539" spans="1:19" ht="45" hidden="1" outlineLevel="1">
      <c r="B1539" s="384">
        <v>2025</v>
      </c>
      <c r="C1539" s="384">
        <v>7</v>
      </c>
      <c r="D1539" s="367" t="s">
        <v>5</v>
      </c>
      <c r="E1539" s="367" t="s">
        <v>6</v>
      </c>
      <c r="F1539" s="389" t="s">
        <v>2542</v>
      </c>
      <c r="G1539" s="385">
        <v>45659</v>
      </c>
      <c r="H1539" s="367" t="s">
        <v>9</v>
      </c>
      <c r="I1539" s="368" t="str">
        <f>VLOOKUP(H1539,'Source Codes'!A$2:B$115,2,FALSE)</f>
        <v>On Line Journal Entries</v>
      </c>
      <c r="J1539" s="412">
        <v>-6660875</v>
      </c>
      <c r="K1539" s="385">
        <v>45679</v>
      </c>
      <c r="L1539" s="387" t="s">
        <v>2544</v>
      </c>
      <c r="M1539" s="390">
        <v>45679.447650462964</v>
      </c>
      <c r="N1539" s="367" t="s">
        <v>356</v>
      </c>
      <c r="O1539" s="368" t="s">
        <v>368</v>
      </c>
      <c r="P1539" s="367" t="str">
        <f>IF(J1539&gt;0,"Revenue",IF(J1539&lt;0,"Expense"))</f>
        <v>Expense</v>
      </c>
      <c r="Q1539" s="366" t="s">
        <v>2270</v>
      </c>
      <c r="R1539" s="366" t="s">
        <v>2550</v>
      </c>
      <c r="S1539" s="395">
        <v>530280</v>
      </c>
    </row>
    <row r="1540" spans="1:19" ht="12.75" customHeight="1" collapsed="1">
      <c r="J1540" s="413">
        <f>SUM(J1535:J1539)</f>
        <v>-5556764.2599999998</v>
      </c>
    </row>
    <row r="1542" spans="1:19" ht="12.75" customHeight="1">
      <c r="A1542" s="378" t="s">
        <v>2551</v>
      </c>
    </row>
    <row r="1543" spans="1:19" ht="45" hidden="1" outlineLevel="1">
      <c r="B1543" s="384">
        <v>2025</v>
      </c>
      <c r="C1543" s="384">
        <v>7</v>
      </c>
      <c r="D1543" s="367" t="s">
        <v>5</v>
      </c>
      <c r="E1543" s="367" t="s">
        <v>6</v>
      </c>
      <c r="F1543" s="389" t="s">
        <v>2552</v>
      </c>
      <c r="G1543" s="385">
        <v>45680</v>
      </c>
      <c r="H1543" s="367" t="s">
        <v>14</v>
      </c>
      <c r="I1543" s="368" t="str">
        <f>VLOOKUP(H1543,'Source Codes'!A$2:B$115,2,FALSE)</f>
        <v>AP Warrant Issuance</v>
      </c>
      <c r="J1543" s="412">
        <v>-1289792.25</v>
      </c>
      <c r="K1543" s="385">
        <v>45680</v>
      </c>
      <c r="L1543" s="387" t="s">
        <v>2560</v>
      </c>
      <c r="M1543" s="390">
        <v>45680.793715277781</v>
      </c>
      <c r="N1543" s="367" t="s">
        <v>356</v>
      </c>
      <c r="O1543" s="368" t="s">
        <v>364</v>
      </c>
      <c r="P1543" s="367" t="str">
        <f t="shared" ref="P1543:P1548" si="6">IF(J1543&gt;0,"Revenue",IF(J1543&lt;0,"Expense"))</f>
        <v>Expense</v>
      </c>
      <c r="Q1543" s="366" t="s">
        <v>2344</v>
      </c>
      <c r="R1543" s="366" t="s">
        <v>2344</v>
      </c>
      <c r="S1543" s="395" t="s">
        <v>203</v>
      </c>
    </row>
    <row r="1544" spans="1:19" ht="30" hidden="1" outlineLevel="1">
      <c r="B1544" s="384">
        <v>2025</v>
      </c>
      <c r="C1544" s="384">
        <v>7</v>
      </c>
      <c r="D1544" s="367" t="s">
        <v>5</v>
      </c>
      <c r="E1544" s="367" t="s">
        <v>6</v>
      </c>
      <c r="F1544" s="389" t="s">
        <v>2553</v>
      </c>
      <c r="G1544" s="385">
        <v>45680</v>
      </c>
      <c r="H1544" s="367" t="s">
        <v>12</v>
      </c>
      <c r="I1544" s="368" t="str">
        <f>VLOOKUP(H1544,'Source Codes'!A$2:B$115,2,FALSE)</f>
        <v>AR Direct Cash Journal</v>
      </c>
      <c r="J1544" s="412">
        <v>3650943.13</v>
      </c>
      <c r="K1544" s="385">
        <v>45680</v>
      </c>
      <c r="L1544" s="387" t="s">
        <v>2561</v>
      </c>
      <c r="M1544" s="390">
        <v>45680.751909722225</v>
      </c>
      <c r="N1544" s="367" t="s">
        <v>356</v>
      </c>
      <c r="O1544" s="368" t="s">
        <v>371</v>
      </c>
      <c r="P1544" s="367" t="str">
        <f t="shared" si="6"/>
        <v>Revenue</v>
      </c>
      <c r="Q1544" s="366" t="s">
        <v>2346</v>
      </c>
      <c r="R1544" s="366" t="s">
        <v>2346</v>
      </c>
      <c r="S1544" s="395">
        <v>750200</v>
      </c>
    </row>
    <row r="1545" spans="1:19" ht="45" hidden="1" outlineLevel="1">
      <c r="B1545" s="384">
        <v>2025</v>
      </c>
      <c r="C1545" s="384">
        <v>7</v>
      </c>
      <c r="D1545" s="367" t="s">
        <v>5</v>
      </c>
      <c r="E1545" s="367" t="s">
        <v>6</v>
      </c>
      <c r="F1545" s="389" t="s">
        <v>2554</v>
      </c>
      <c r="G1545" s="385">
        <v>45670</v>
      </c>
      <c r="H1545" s="367" t="s">
        <v>9</v>
      </c>
      <c r="I1545" s="368" t="str">
        <f>VLOOKUP(H1545,'Source Codes'!A$2:B$115,2,FALSE)</f>
        <v>On Line Journal Entries</v>
      </c>
      <c r="J1545" s="412">
        <v>2600479.09</v>
      </c>
      <c r="K1545" s="385">
        <v>45680</v>
      </c>
      <c r="L1545" s="387" t="s">
        <v>2558</v>
      </c>
      <c r="M1545" s="390">
        <v>45680.583136574074</v>
      </c>
      <c r="N1545" s="367" t="s">
        <v>361</v>
      </c>
      <c r="O1545" s="368" t="s">
        <v>376</v>
      </c>
      <c r="P1545" s="367" t="str">
        <f t="shared" si="6"/>
        <v>Revenue</v>
      </c>
      <c r="Q1545" s="366" t="s">
        <v>2562</v>
      </c>
      <c r="R1545" s="366" t="s">
        <v>2563</v>
      </c>
      <c r="S1545" s="395">
        <v>755928</v>
      </c>
    </row>
    <row r="1546" spans="1:19" ht="30" hidden="1" outlineLevel="1">
      <c r="B1546" s="384">
        <v>2025</v>
      </c>
      <c r="C1546" s="384">
        <v>7</v>
      </c>
      <c r="D1546" s="367" t="s">
        <v>5</v>
      </c>
      <c r="E1546" s="367" t="s">
        <v>6</v>
      </c>
      <c r="F1546" s="389" t="s">
        <v>2555</v>
      </c>
      <c r="G1546" s="385">
        <v>45658</v>
      </c>
      <c r="H1546" s="367" t="s">
        <v>9</v>
      </c>
      <c r="I1546" s="368" t="str">
        <f>VLOOKUP(H1546,'Source Codes'!A$2:B$115,2,FALSE)</f>
        <v>On Line Journal Entries</v>
      </c>
      <c r="J1546" s="412">
        <v>2323384.0499999998</v>
      </c>
      <c r="K1546" s="385">
        <v>45680</v>
      </c>
      <c r="L1546" s="387" t="s">
        <v>2403</v>
      </c>
      <c r="M1546" s="390">
        <v>45680.870486111111</v>
      </c>
      <c r="N1546" s="367" t="s">
        <v>361</v>
      </c>
      <c r="O1546" s="368" t="s">
        <v>373</v>
      </c>
      <c r="P1546" s="367" t="str">
        <f t="shared" si="6"/>
        <v>Revenue</v>
      </c>
      <c r="Q1546" s="366" t="s">
        <v>2565</v>
      </c>
      <c r="R1546" s="366" t="s">
        <v>2566</v>
      </c>
      <c r="S1546" s="395" t="s">
        <v>2564</v>
      </c>
    </row>
    <row r="1547" spans="1:19" ht="15" hidden="1" outlineLevel="1">
      <c r="B1547" s="384">
        <v>2025</v>
      </c>
      <c r="C1547" s="384">
        <v>7</v>
      </c>
      <c r="D1547" s="367" t="s">
        <v>5</v>
      </c>
      <c r="E1547" s="367" t="s">
        <v>6</v>
      </c>
      <c r="F1547" s="389" t="s">
        <v>2556</v>
      </c>
      <c r="G1547" s="385">
        <v>45680</v>
      </c>
      <c r="H1547" s="367" t="s">
        <v>7</v>
      </c>
      <c r="I1547" s="368" t="str">
        <f>VLOOKUP(H1547,'Source Codes'!A$2:B$115,2,FALSE)</f>
        <v>HRMS Interface Journals</v>
      </c>
      <c r="J1547" s="412">
        <v>-2690958.77</v>
      </c>
      <c r="K1547" s="385">
        <v>45680</v>
      </c>
      <c r="L1547" s="387" t="s">
        <v>406</v>
      </c>
      <c r="M1547" s="390">
        <v>45680.367650462962</v>
      </c>
      <c r="N1547" s="367" t="s">
        <v>378</v>
      </c>
      <c r="O1547" s="368" t="s">
        <v>371</v>
      </c>
      <c r="P1547" s="367" t="str">
        <f t="shared" si="6"/>
        <v>Expense</v>
      </c>
      <c r="Q1547" s="366" t="s">
        <v>379</v>
      </c>
      <c r="R1547" s="366" t="s">
        <v>2567</v>
      </c>
      <c r="S1547" s="395" t="s">
        <v>2568</v>
      </c>
    </row>
    <row r="1548" spans="1:19" ht="30" hidden="1" outlineLevel="1">
      <c r="B1548" s="384">
        <v>2025</v>
      </c>
      <c r="C1548" s="384">
        <v>7</v>
      </c>
      <c r="D1548" s="367" t="s">
        <v>5</v>
      </c>
      <c r="E1548" s="367" t="s">
        <v>6</v>
      </c>
      <c r="F1548" s="389" t="s">
        <v>2557</v>
      </c>
      <c r="G1548" s="385">
        <v>45658</v>
      </c>
      <c r="H1548" s="367" t="s">
        <v>9</v>
      </c>
      <c r="I1548" s="368" t="str">
        <f>VLOOKUP(H1548,'Source Codes'!A$2:B$115,2,FALSE)</f>
        <v>On Line Journal Entries</v>
      </c>
      <c r="J1548" s="412">
        <v>-18107046.059999999</v>
      </c>
      <c r="K1548" s="385">
        <v>45680</v>
      </c>
      <c r="L1548" s="387" t="s">
        <v>2559</v>
      </c>
      <c r="M1548" s="390">
        <v>45680.451064814813</v>
      </c>
      <c r="N1548" s="367" t="s">
        <v>361</v>
      </c>
      <c r="O1548" s="368" t="s">
        <v>373</v>
      </c>
      <c r="P1548" s="367" t="str">
        <f t="shared" si="6"/>
        <v>Expense</v>
      </c>
      <c r="Q1548" s="366" t="s">
        <v>2569</v>
      </c>
      <c r="R1548" s="366" t="s">
        <v>2570</v>
      </c>
      <c r="S1548" s="395">
        <v>520930</v>
      </c>
    </row>
    <row r="1549" spans="1:19" ht="12.75" customHeight="1" collapsed="1">
      <c r="J1549" s="413">
        <f>SUM(J1543:J1548)</f>
        <v>-13512990.809999999</v>
      </c>
    </row>
    <row r="1551" spans="1:19" ht="12.75" customHeight="1">
      <c r="A1551" s="378" t="s">
        <v>2571</v>
      </c>
    </row>
    <row r="1552" spans="1:19" ht="45" hidden="1" outlineLevel="1">
      <c r="B1552" s="384">
        <v>2025</v>
      </c>
      <c r="C1552" s="384">
        <v>7</v>
      </c>
      <c r="D1552" s="367" t="s">
        <v>5</v>
      </c>
      <c r="E1552" s="367" t="s">
        <v>6</v>
      </c>
      <c r="F1552" s="389" t="s">
        <v>2572</v>
      </c>
      <c r="G1552" s="385">
        <v>45681</v>
      </c>
      <c r="H1552" s="367" t="s">
        <v>12</v>
      </c>
      <c r="I1552" s="368" t="str">
        <f>VLOOKUP(H1552,'Source Codes'!A$2:B$115,2,FALSE)</f>
        <v>AR Direct Cash Journal</v>
      </c>
      <c r="J1552" s="412">
        <v>3714391</v>
      </c>
      <c r="K1552" s="385">
        <v>45681</v>
      </c>
      <c r="L1552" s="387" t="s">
        <v>2574</v>
      </c>
      <c r="M1552" s="390">
        <v>45681.751851851855</v>
      </c>
      <c r="N1552" s="367" t="s">
        <v>356</v>
      </c>
      <c r="O1552" s="368" t="s">
        <v>371</v>
      </c>
      <c r="P1552" s="367" t="str">
        <f>IF(J1552&gt;0,"Revenue",IF(J1552&lt;0,"Expense"))</f>
        <v>Revenue</v>
      </c>
      <c r="Q1552" s="366" t="s">
        <v>2316</v>
      </c>
      <c r="R1552" s="366" t="s">
        <v>2573</v>
      </c>
      <c r="S1552" s="395">
        <v>710020</v>
      </c>
    </row>
    <row r="1553" spans="1:19" ht="12.75" customHeight="1" collapsed="1">
      <c r="J1553" s="413">
        <f>SUM(J1552)</f>
        <v>3714391</v>
      </c>
    </row>
    <row r="1555" spans="1:19" ht="12.75" customHeight="1">
      <c r="A1555" s="378" t="s">
        <v>2575</v>
      </c>
    </row>
    <row r="1556" spans="1:19" ht="30" hidden="1" outlineLevel="1">
      <c r="B1556" s="384">
        <v>2025</v>
      </c>
      <c r="C1556" s="384">
        <v>7</v>
      </c>
      <c r="D1556" s="367" t="s">
        <v>5</v>
      </c>
      <c r="E1556" s="367" t="s">
        <v>6</v>
      </c>
      <c r="F1556" s="389" t="s">
        <v>2576</v>
      </c>
      <c r="G1556" s="385">
        <v>45680</v>
      </c>
      <c r="H1556" s="367" t="s">
        <v>12</v>
      </c>
      <c r="I1556" s="368" t="str">
        <f>VLOOKUP(H1556,'Source Codes'!A$2:B$115,2,FALSE)</f>
        <v>AR Direct Cash Journal</v>
      </c>
      <c r="J1556" s="412">
        <v>1079282.42</v>
      </c>
      <c r="K1556" s="385">
        <v>45684</v>
      </c>
      <c r="L1556" s="387" t="s">
        <v>2579</v>
      </c>
      <c r="M1556" s="390">
        <v>45684.752280092594</v>
      </c>
      <c r="N1556" s="367" t="s">
        <v>356</v>
      </c>
      <c r="O1556" s="368" t="s">
        <v>370</v>
      </c>
      <c r="P1556" s="367" t="str">
        <f>IF(J1556&gt;0,"Revenue",IF(J1556&lt;0,"Expense"))</f>
        <v>Revenue</v>
      </c>
      <c r="Q1556" s="366" t="s">
        <v>2264</v>
      </c>
      <c r="R1556" s="366" t="s">
        <v>2577</v>
      </c>
      <c r="S1556" s="395" t="s">
        <v>2578</v>
      </c>
    </row>
    <row r="1557" spans="1:19" ht="12.75" customHeight="1" collapsed="1">
      <c r="J1557" s="413">
        <f>SUM(J1556)</f>
        <v>1079282.42</v>
      </c>
    </row>
    <row r="1559" spans="1:19" ht="12.75" customHeight="1">
      <c r="A1559" s="378" t="s">
        <v>2580</v>
      </c>
    </row>
    <row r="1560" spans="1:19" ht="30" hidden="1" outlineLevel="1">
      <c r="B1560" s="384">
        <v>2025</v>
      </c>
      <c r="C1560" s="384">
        <v>7</v>
      </c>
      <c r="D1560" s="367" t="s">
        <v>5</v>
      </c>
      <c r="E1560" s="367" t="s">
        <v>6</v>
      </c>
      <c r="F1560" s="389" t="s">
        <v>2581</v>
      </c>
      <c r="G1560" s="385">
        <v>45684</v>
      </c>
      <c r="H1560" s="367" t="s">
        <v>12</v>
      </c>
      <c r="I1560" s="368" t="str">
        <f>VLOOKUP(H1560,'Source Codes'!A$2:B$115,2,FALSE)</f>
        <v>AR Direct Cash Journal</v>
      </c>
      <c r="J1560" s="412">
        <v>4767545.03</v>
      </c>
      <c r="K1560" s="385">
        <v>45685</v>
      </c>
      <c r="L1560" s="387" t="s">
        <v>2590</v>
      </c>
      <c r="M1560" s="390">
        <v>45685.752546296295</v>
      </c>
      <c r="N1560" s="367" t="s">
        <v>356</v>
      </c>
      <c r="O1560" s="368" t="s">
        <v>371</v>
      </c>
      <c r="P1560" s="367" t="str">
        <f t="shared" ref="P1560:P1567" si="7">IF(J1560&gt;0,"Revenue",IF(J1560&lt;0,"Expense"))</f>
        <v>Revenue</v>
      </c>
      <c r="Q1560" s="366" t="s">
        <v>2346</v>
      </c>
      <c r="R1560" s="366" t="s">
        <v>2591</v>
      </c>
      <c r="S1560" s="395">
        <v>750250</v>
      </c>
    </row>
    <row r="1561" spans="1:19" ht="30" hidden="1" outlineLevel="1">
      <c r="B1561" s="384">
        <v>2025</v>
      </c>
      <c r="C1561" s="384">
        <v>7</v>
      </c>
      <c r="D1561" s="367" t="s">
        <v>5</v>
      </c>
      <c r="E1561" s="367" t="s">
        <v>6</v>
      </c>
      <c r="F1561" s="389" t="s">
        <v>2582</v>
      </c>
      <c r="G1561" s="385">
        <v>45684</v>
      </c>
      <c r="H1561" s="367" t="s">
        <v>11</v>
      </c>
      <c r="I1561" s="368" t="str">
        <f>VLOOKUP(H1561,'Source Codes'!A$2:B$115,2,FALSE)</f>
        <v>AR Payments</v>
      </c>
      <c r="J1561" s="412">
        <v>1493535.79</v>
      </c>
      <c r="K1561" s="385">
        <v>45685</v>
      </c>
      <c r="L1561" s="387" t="s">
        <v>2592</v>
      </c>
      <c r="M1561" s="390">
        <v>45685.752546296295</v>
      </c>
      <c r="N1561" s="367" t="s">
        <v>356</v>
      </c>
      <c r="O1561" s="368" t="s">
        <v>357</v>
      </c>
      <c r="P1561" s="367" t="str">
        <f t="shared" si="7"/>
        <v>Revenue</v>
      </c>
      <c r="Q1561" s="366" t="s">
        <v>2157</v>
      </c>
      <c r="R1561" s="366" t="s">
        <v>2157</v>
      </c>
      <c r="S1561" s="395">
        <v>118601</v>
      </c>
    </row>
    <row r="1562" spans="1:19" ht="45" hidden="1" outlineLevel="1">
      <c r="B1562" s="384">
        <v>2025</v>
      </c>
      <c r="C1562" s="384">
        <v>7</v>
      </c>
      <c r="D1562" s="367" t="s">
        <v>5</v>
      </c>
      <c r="E1562" s="367" t="s">
        <v>6</v>
      </c>
      <c r="F1562" s="389" t="s">
        <v>2583</v>
      </c>
      <c r="G1562" s="385">
        <v>45677</v>
      </c>
      <c r="H1562" s="367" t="s">
        <v>11</v>
      </c>
      <c r="I1562" s="368" t="str">
        <f>VLOOKUP(H1562,'Source Codes'!A$2:B$115,2,FALSE)</f>
        <v>AR Payments</v>
      </c>
      <c r="J1562" s="412">
        <v>4270382.99</v>
      </c>
      <c r="K1562" s="385">
        <v>45685</v>
      </c>
      <c r="L1562" s="387" t="s">
        <v>2593</v>
      </c>
      <c r="M1562" s="390">
        <v>45685.752546296295</v>
      </c>
      <c r="N1562" s="367" t="s">
        <v>356</v>
      </c>
      <c r="O1562" s="368" t="s">
        <v>357</v>
      </c>
      <c r="P1562" s="367" t="str">
        <f t="shared" si="7"/>
        <v>Revenue</v>
      </c>
      <c r="Q1562" s="366" t="s">
        <v>2157</v>
      </c>
      <c r="R1562" s="366" t="s">
        <v>2157</v>
      </c>
      <c r="S1562" s="395" t="s">
        <v>2278</v>
      </c>
    </row>
    <row r="1563" spans="1:19" ht="30" hidden="1" outlineLevel="1">
      <c r="B1563" s="384">
        <v>2025</v>
      </c>
      <c r="C1563" s="384">
        <v>7</v>
      </c>
      <c r="D1563" s="367" t="s">
        <v>5</v>
      </c>
      <c r="E1563" s="367" t="s">
        <v>6</v>
      </c>
      <c r="F1563" s="389" t="s">
        <v>2584</v>
      </c>
      <c r="G1563" s="385">
        <v>45679</v>
      </c>
      <c r="H1563" s="367" t="s">
        <v>9</v>
      </c>
      <c r="I1563" s="368" t="str">
        <f>VLOOKUP(H1563,'Source Codes'!A$2:B$115,2,FALSE)</f>
        <v>On Line Journal Entries</v>
      </c>
      <c r="J1563" s="412">
        <v>14806715</v>
      </c>
      <c r="K1563" s="385">
        <v>45685</v>
      </c>
      <c r="L1563" s="387" t="s">
        <v>344</v>
      </c>
      <c r="M1563" s="390">
        <v>45685.87</v>
      </c>
      <c r="N1563" s="367" t="s">
        <v>356</v>
      </c>
      <c r="O1563" s="368" t="s">
        <v>364</v>
      </c>
      <c r="P1563" s="367" t="str">
        <f t="shared" si="7"/>
        <v>Revenue</v>
      </c>
      <c r="Q1563" s="366" t="s">
        <v>2232</v>
      </c>
      <c r="R1563" s="366" t="s">
        <v>2232</v>
      </c>
      <c r="S1563" s="395" t="s">
        <v>2533</v>
      </c>
    </row>
    <row r="1564" spans="1:19" ht="75" hidden="1" outlineLevel="1">
      <c r="B1564" s="384">
        <v>2025</v>
      </c>
      <c r="C1564" s="384">
        <v>7</v>
      </c>
      <c r="D1564" s="367" t="s">
        <v>5</v>
      </c>
      <c r="E1564" s="367" t="s">
        <v>6</v>
      </c>
      <c r="F1564" s="389" t="s">
        <v>2585</v>
      </c>
      <c r="G1564" s="385">
        <v>45684</v>
      </c>
      <c r="H1564" s="367" t="s">
        <v>9</v>
      </c>
      <c r="I1564" s="368" t="str">
        <f>VLOOKUP(H1564,'Source Codes'!A$2:B$115,2,FALSE)</f>
        <v>On Line Journal Entries</v>
      </c>
      <c r="J1564" s="412">
        <v>8962541.5399999991</v>
      </c>
      <c r="K1564" s="385">
        <v>45685</v>
      </c>
      <c r="L1564" s="387" t="s">
        <v>339</v>
      </c>
      <c r="M1564" s="390">
        <v>45685.87</v>
      </c>
      <c r="N1564" s="367" t="s">
        <v>356</v>
      </c>
      <c r="O1564" s="368" t="s">
        <v>364</v>
      </c>
      <c r="P1564" s="367" t="str">
        <f t="shared" si="7"/>
        <v>Revenue</v>
      </c>
      <c r="Q1564" s="366" t="s">
        <v>2232</v>
      </c>
      <c r="R1564" s="366" t="s">
        <v>2232</v>
      </c>
      <c r="S1564" s="395">
        <v>230141</v>
      </c>
    </row>
    <row r="1565" spans="1:19" ht="30" hidden="1" outlineLevel="1">
      <c r="B1565" s="384">
        <v>2025</v>
      </c>
      <c r="C1565" s="384">
        <v>7</v>
      </c>
      <c r="D1565" s="367" t="s">
        <v>5</v>
      </c>
      <c r="E1565" s="367" t="s">
        <v>6</v>
      </c>
      <c r="F1565" s="389" t="s">
        <v>2586</v>
      </c>
      <c r="G1565" s="385">
        <v>45679</v>
      </c>
      <c r="H1565" s="367" t="s">
        <v>9</v>
      </c>
      <c r="I1565" s="368" t="str">
        <f>VLOOKUP(H1565,'Source Codes'!A$2:B$115,2,FALSE)</f>
        <v>On Line Journal Entries</v>
      </c>
      <c r="J1565" s="412">
        <v>6097424</v>
      </c>
      <c r="K1565" s="385">
        <v>45685</v>
      </c>
      <c r="L1565" s="387" t="s">
        <v>344</v>
      </c>
      <c r="M1565" s="390">
        <v>45685.87</v>
      </c>
      <c r="N1565" s="367" t="s">
        <v>356</v>
      </c>
      <c r="O1565" s="368" t="s">
        <v>364</v>
      </c>
      <c r="P1565" s="367" t="str">
        <f t="shared" si="7"/>
        <v>Revenue</v>
      </c>
      <c r="Q1565" s="366" t="s">
        <v>2232</v>
      </c>
      <c r="R1565" s="366" t="s">
        <v>2232</v>
      </c>
      <c r="S1565" s="395" t="s">
        <v>2594</v>
      </c>
    </row>
    <row r="1566" spans="1:19" ht="15" hidden="1" outlineLevel="1">
      <c r="B1566" s="384">
        <v>2025</v>
      </c>
      <c r="C1566" s="384">
        <v>7</v>
      </c>
      <c r="D1566" s="367" t="s">
        <v>5</v>
      </c>
      <c r="E1566" s="367" t="s">
        <v>6</v>
      </c>
      <c r="F1566" s="389" t="s">
        <v>2587</v>
      </c>
      <c r="G1566" s="385">
        <v>45685</v>
      </c>
      <c r="H1566" s="367" t="s">
        <v>110</v>
      </c>
      <c r="I1566" s="368" t="str">
        <f>VLOOKUP(H1566,'Source Codes'!A$2:B$115,2,FALSE)</f>
        <v>Treasurers Interest Apportion</v>
      </c>
      <c r="J1566" s="412">
        <v>2156109.54</v>
      </c>
      <c r="K1566" s="385">
        <v>45685</v>
      </c>
      <c r="L1566" s="387" t="s">
        <v>2589</v>
      </c>
      <c r="M1566" s="390">
        <v>45685.647349537037</v>
      </c>
      <c r="N1566" s="367" t="s">
        <v>361</v>
      </c>
      <c r="O1566" s="368" t="s">
        <v>371</v>
      </c>
      <c r="P1566" s="367" t="str">
        <f t="shared" si="7"/>
        <v>Revenue</v>
      </c>
      <c r="Q1566" s="366" t="s">
        <v>2363</v>
      </c>
      <c r="R1566" s="366" t="s">
        <v>2595</v>
      </c>
      <c r="S1566" s="395">
        <v>740020</v>
      </c>
    </row>
    <row r="1567" spans="1:19" ht="30" hidden="1" outlineLevel="1">
      <c r="B1567" s="384">
        <v>2025</v>
      </c>
      <c r="C1567" s="384">
        <v>7</v>
      </c>
      <c r="D1567" s="367" t="s">
        <v>5</v>
      </c>
      <c r="E1567" s="367" t="s">
        <v>6</v>
      </c>
      <c r="F1567" s="389" t="s">
        <v>2588</v>
      </c>
      <c r="G1567" s="385">
        <v>45679</v>
      </c>
      <c r="H1567" s="367" t="s">
        <v>9</v>
      </c>
      <c r="I1567" s="368" t="str">
        <f>VLOOKUP(H1567,'Source Codes'!A$2:B$115,2,FALSE)</f>
        <v>On Line Journal Entries</v>
      </c>
      <c r="J1567" s="412">
        <v>1878074</v>
      </c>
      <c r="K1567" s="385">
        <v>45685</v>
      </c>
      <c r="L1567" s="387" t="s">
        <v>344</v>
      </c>
      <c r="M1567" s="390">
        <v>45685.87</v>
      </c>
      <c r="N1567" s="367" t="s">
        <v>356</v>
      </c>
      <c r="O1567" s="368" t="s">
        <v>364</v>
      </c>
      <c r="P1567" s="367" t="str">
        <f t="shared" si="7"/>
        <v>Revenue</v>
      </c>
      <c r="Q1567" s="366" t="s">
        <v>2232</v>
      </c>
      <c r="R1567" s="366" t="s">
        <v>2232</v>
      </c>
      <c r="S1567" s="395" t="s">
        <v>2533</v>
      </c>
    </row>
    <row r="1568" spans="1:19" ht="12.75" customHeight="1" collapsed="1">
      <c r="J1568" s="413">
        <f>SUM(J1560:J1567)</f>
        <v>44432327.890000001</v>
      </c>
    </row>
    <row r="1570" spans="1:19" ht="12.75" customHeight="1">
      <c r="A1570" s="378" t="s">
        <v>2596</v>
      </c>
    </row>
    <row r="1571" spans="1:19" ht="30" hidden="1" outlineLevel="1">
      <c r="B1571" s="384">
        <v>2025</v>
      </c>
      <c r="C1571" s="384">
        <v>7</v>
      </c>
      <c r="D1571" s="367" t="s">
        <v>5</v>
      </c>
      <c r="E1571" s="367" t="s">
        <v>6</v>
      </c>
      <c r="F1571" s="389" t="s">
        <v>2597</v>
      </c>
      <c r="G1571" s="385">
        <v>45688</v>
      </c>
      <c r="H1571" s="367" t="s">
        <v>14</v>
      </c>
      <c r="I1571" s="368" t="str">
        <f>VLOOKUP(H1571,'Source Codes'!A$2:B$115,2,FALSE)</f>
        <v>AP Warrant Issuance</v>
      </c>
      <c r="J1571" s="412">
        <v>-1007189.52</v>
      </c>
      <c r="K1571" s="385">
        <v>45686</v>
      </c>
      <c r="L1571" s="387" t="s">
        <v>2599</v>
      </c>
      <c r="M1571" s="390">
        <v>45686.793692129628</v>
      </c>
      <c r="N1571" s="367" t="s">
        <v>356</v>
      </c>
      <c r="O1571" s="368" t="s">
        <v>368</v>
      </c>
      <c r="P1571" s="367" t="str">
        <f>IF(J1571&gt;0,"Revenue",IF(J1571&lt;0,"Expense"))</f>
        <v>Expense</v>
      </c>
      <c r="Q1571" s="366" t="s">
        <v>2154</v>
      </c>
      <c r="R1571" s="366" t="s">
        <v>2154</v>
      </c>
      <c r="S1571" s="395" t="s">
        <v>203</v>
      </c>
    </row>
    <row r="1572" spans="1:19" ht="30" hidden="1" outlineLevel="1">
      <c r="B1572" s="384">
        <v>2025</v>
      </c>
      <c r="C1572" s="384">
        <v>7</v>
      </c>
      <c r="D1572" s="367" t="s">
        <v>5</v>
      </c>
      <c r="E1572" s="367" t="s">
        <v>6</v>
      </c>
      <c r="F1572" s="389" t="s">
        <v>2598</v>
      </c>
      <c r="G1572" s="385">
        <v>45685</v>
      </c>
      <c r="H1572" s="367" t="s">
        <v>12</v>
      </c>
      <c r="I1572" s="368" t="str">
        <f>VLOOKUP(H1572,'Source Codes'!A$2:B$115,2,FALSE)</f>
        <v>AR Direct Cash Journal</v>
      </c>
      <c r="J1572" s="412">
        <v>1374480.16</v>
      </c>
      <c r="K1572" s="385">
        <v>45686</v>
      </c>
      <c r="L1572" s="387" t="s">
        <v>2600</v>
      </c>
      <c r="M1572" s="390">
        <v>45686.752245370371</v>
      </c>
      <c r="N1572" s="367" t="s">
        <v>356</v>
      </c>
      <c r="O1572" s="368" t="s">
        <v>370</v>
      </c>
      <c r="P1572" s="367" t="str">
        <f>IF(J1572&gt;0,"Revenue",IF(J1572&lt;0,"Expense"))</f>
        <v>Revenue</v>
      </c>
      <c r="Q1572" s="366" t="s">
        <v>2264</v>
      </c>
      <c r="R1572" s="366" t="s">
        <v>2265</v>
      </c>
      <c r="S1572" s="395" t="s">
        <v>203</v>
      </c>
    </row>
    <row r="1573" spans="1:19" ht="12.75" customHeight="1" collapsed="1">
      <c r="J1573" s="413">
        <f>SUM(J1571:J1572)</f>
        <v>367290.6399999999</v>
      </c>
    </row>
    <row r="1575" spans="1:19" ht="12.75" customHeight="1">
      <c r="A1575" s="378" t="s">
        <v>2601</v>
      </c>
    </row>
    <row r="1576" spans="1:19" ht="30" hidden="1" outlineLevel="1">
      <c r="B1576" s="384">
        <v>2025</v>
      </c>
      <c r="C1576" s="384">
        <v>7</v>
      </c>
      <c r="D1576" s="367" t="s">
        <v>5</v>
      </c>
      <c r="E1576" s="367" t="s">
        <v>6</v>
      </c>
      <c r="F1576" s="389" t="s">
        <v>2602</v>
      </c>
      <c r="G1576" s="385">
        <v>45687</v>
      </c>
      <c r="H1576" s="367" t="s">
        <v>14</v>
      </c>
      <c r="I1576" s="368" t="str">
        <f>VLOOKUP(H1576,'Source Codes'!A$2:B$115,2,FALSE)</f>
        <v>AP Warrant Issuance</v>
      </c>
      <c r="J1576" s="412">
        <v>-1009859.33</v>
      </c>
      <c r="K1576" s="385">
        <v>45687</v>
      </c>
      <c r="L1576" s="387" t="s">
        <v>2612</v>
      </c>
      <c r="M1576" s="390">
        <v>45687.793379629627</v>
      </c>
      <c r="N1576" s="367" t="s">
        <v>356</v>
      </c>
      <c r="O1576" s="368" t="s">
        <v>368</v>
      </c>
      <c r="P1576" s="367" t="str">
        <f>IF(J1576&gt;0,"Revenue",IF(J1576&lt;0,"Expense"))</f>
        <v>Expense</v>
      </c>
      <c r="Q1576" s="366" t="s">
        <v>2154</v>
      </c>
      <c r="R1576" s="366" t="s">
        <v>2154</v>
      </c>
      <c r="S1576" s="395" t="s">
        <v>203</v>
      </c>
    </row>
    <row r="1577" spans="1:19" ht="30" hidden="1" outlineLevel="1">
      <c r="B1577" s="384">
        <v>2025</v>
      </c>
      <c r="C1577" s="384">
        <v>7</v>
      </c>
      <c r="D1577" s="367" t="s">
        <v>5</v>
      </c>
      <c r="E1577" s="367" t="s">
        <v>6</v>
      </c>
      <c r="F1577" s="389" t="s">
        <v>2603</v>
      </c>
      <c r="G1577" s="385">
        <v>45686</v>
      </c>
      <c r="H1577" s="367" t="s">
        <v>12</v>
      </c>
      <c r="I1577" s="368" t="str">
        <f>VLOOKUP(H1577,'Source Codes'!A$2:B$115,2,FALSE)</f>
        <v>AR Direct Cash Journal</v>
      </c>
      <c r="J1577" s="412">
        <v>-267714583.33000001</v>
      </c>
      <c r="K1577" s="385">
        <v>45687</v>
      </c>
      <c r="L1577" s="387" t="s">
        <v>2615</v>
      </c>
      <c r="M1577" s="390">
        <v>45687.751956018517</v>
      </c>
      <c r="N1577" s="367" t="s">
        <v>506</v>
      </c>
      <c r="O1577" s="368" t="s">
        <v>358</v>
      </c>
      <c r="P1577" s="367" t="s">
        <v>2613</v>
      </c>
      <c r="Q1577" s="366" t="s">
        <v>2616</v>
      </c>
      <c r="R1577" s="366" t="s">
        <v>2617</v>
      </c>
      <c r="S1577" s="395">
        <v>101500</v>
      </c>
    </row>
    <row r="1578" spans="1:19" ht="60" hidden="1" outlineLevel="1">
      <c r="B1578" s="384">
        <v>2025</v>
      </c>
      <c r="C1578" s="384">
        <v>7</v>
      </c>
      <c r="D1578" s="367" t="s">
        <v>5</v>
      </c>
      <c r="E1578" s="367" t="s">
        <v>6</v>
      </c>
      <c r="F1578" s="389" t="s">
        <v>2609</v>
      </c>
      <c r="G1578" s="385">
        <v>45686</v>
      </c>
      <c r="H1578" s="367" t="s">
        <v>12</v>
      </c>
      <c r="I1578" s="368" t="str">
        <f>VLOOKUP(H1578,'Source Codes'!A$2:B$115,2,FALSE)</f>
        <v>AR Direct Cash Journal</v>
      </c>
      <c r="J1578" s="412">
        <v>7482564.3200000003</v>
      </c>
      <c r="K1578" s="385">
        <v>45687</v>
      </c>
      <c r="L1578" s="387" t="s">
        <v>2614</v>
      </c>
      <c r="M1578" s="390">
        <v>45687.751956018517</v>
      </c>
      <c r="N1578" s="367" t="s">
        <v>356</v>
      </c>
      <c r="O1578" s="368" t="s">
        <v>368</v>
      </c>
      <c r="P1578" s="367" t="str">
        <f t="shared" ref="P1578:P1583" si="8">IF(J1578&gt;0,"Revenue",IF(J1578&lt;0,"Expense"))</f>
        <v>Revenue</v>
      </c>
      <c r="Q1578" s="366" t="s">
        <v>2177</v>
      </c>
      <c r="R1578" s="366" t="s">
        <v>2214</v>
      </c>
      <c r="S1578" s="395"/>
    </row>
    <row r="1579" spans="1:19" ht="30" hidden="1" outlineLevel="1">
      <c r="B1579" s="384">
        <v>2025</v>
      </c>
      <c r="C1579" s="384">
        <v>7</v>
      </c>
      <c r="D1579" s="367" t="s">
        <v>5</v>
      </c>
      <c r="E1579" s="367" t="s">
        <v>6</v>
      </c>
      <c r="F1579" s="389" t="s">
        <v>2604</v>
      </c>
      <c r="G1579" s="385">
        <v>45680</v>
      </c>
      <c r="H1579" s="367" t="s">
        <v>16</v>
      </c>
      <c r="I1579" s="368" t="str">
        <f>VLOOKUP(H1579,'Source Codes'!A$2:B$115,2,FALSE)</f>
        <v>Property Tax Interface</v>
      </c>
      <c r="J1579" s="412">
        <v>88242279.409999996</v>
      </c>
      <c r="K1579" s="385">
        <v>45687</v>
      </c>
      <c r="L1579" s="387" t="s">
        <v>2610</v>
      </c>
      <c r="M1579" s="390">
        <v>45688.751955960652</v>
      </c>
      <c r="N1579" s="367" t="s">
        <v>361</v>
      </c>
      <c r="O1579" s="368" t="s">
        <v>384</v>
      </c>
      <c r="P1579" s="367" t="str">
        <f t="shared" si="8"/>
        <v>Revenue</v>
      </c>
      <c r="Q1579" s="366" t="s">
        <v>2199</v>
      </c>
      <c r="R1579" s="366" t="s">
        <v>2618</v>
      </c>
      <c r="S1579" s="395"/>
    </row>
    <row r="1580" spans="1:19" ht="30" hidden="1" outlineLevel="1">
      <c r="B1580" s="384">
        <v>2025</v>
      </c>
      <c r="C1580" s="384">
        <v>7</v>
      </c>
      <c r="D1580" s="367" t="s">
        <v>5</v>
      </c>
      <c r="E1580" s="367" t="s">
        <v>6</v>
      </c>
      <c r="F1580" s="389" t="s">
        <v>2605</v>
      </c>
      <c r="G1580" s="385">
        <v>45671</v>
      </c>
      <c r="H1580" s="367" t="s">
        <v>9</v>
      </c>
      <c r="I1580" s="368" t="str">
        <f>VLOOKUP(H1580,'Source Codes'!A$2:B$115,2,FALSE)</f>
        <v>On Line Journal Entries</v>
      </c>
      <c r="J1580" s="412">
        <v>38176803.600000001</v>
      </c>
      <c r="K1580" s="385">
        <v>45687</v>
      </c>
      <c r="L1580" s="387" t="s">
        <v>2611</v>
      </c>
      <c r="M1580" s="390">
        <v>45688.751955960652</v>
      </c>
      <c r="N1580" s="367" t="s">
        <v>361</v>
      </c>
      <c r="O1580" s="368" t="s">
        <v>370</v>
      </c>
      <c r="P1580" s="367" t="str">
        <f t="shared" si="8"/>
        <v>Revenue</v>
      </c>
      <c r="Q1580" s="366" t="s">
        <v>2619</v>
      </c>
      <c r="R1580" s="366" t="s">
        <v>2620</v>
      </c>
      <c r="S1580" s="395"/>
    </row>
    <row r="1581" spans="1:19" ht="15" hidden="1" outlineLevel="1">
      <c r="B1581" s="384">
        <v>2025</v>
      </c>
      <c r="C1581" s="384">
        <v>7</v>
      </c>
      <c r="D1581" s="367" t="s">
        <v>5</v>
      </c>
      <c r="E1581" s="367" t="s">
        <v>6</v>
      </c>
      <c r="F1581" s="389" t="s">
        <v>2606</v>
      </c>
      <c r="G1581" s="385">
        <v>45679</v>
      </c>
      <c r="H1581" s="367" t="s">
        <v>7</v>
      </c>
      <c r="I1581" s="368" t="str">
        <f>VLOOKUP(H1581,'Source Codes'!A$2:B$115,2,FALSE)</f>
        <v>HRMS Interface Journals</v>
      </c>
      <c r="J1581" s="412">
        <v>-2465732.6</v>
      </c>
      <c r="K1581" s="385">
        <v>45687</v>
      </c>
      <c r="L1581" s="387" t="s">
        <v>409</v>
      </c>
      <c r="M1581" s="390">
        <v>45687.388090277775</v>
      </c>
      <c r="N1581" s="367" t="s">
        <v>378</v>
      </c>
      <c r="O1581" s="368" t="s">
        <v>395</v>
      </c>
      <c r="P1581" s="367" t="str">
        <f t="shared" si="8"/>
        <v>Expense</v>
      </c>
      <c r="Q1581" s="366" t="s">
        <v>379</v>
      </c>
      <c r="R1581" s="366" t="s">
        <v>2567</v>
      </c>
      <c r="S1581" s="395">
        <v>513120</v>
      </c>
    </row>
    <row r="1582" spans="1:19" ht="15" hidden="1" outlineLevel="1">
      <c r="B1582" s="384">
        <v>2025</v>
      </c>
      <c r="C1582" s="384">
        <v>7</v>
      </c>
      <c r="D1582" s="367" t="s">
        <v>5</v>
      </c>
      <c r="E1582" s="367" t="s">
        <v>6</v>
      </c>
      <c r="F1582" s="389" t="s">
        <v>2607</v>
      </c>
      <c r="G1582" s="385">
        <v>45679</v>
      </c>
      <c r="H1582" s="367" t="s">
        <v>7</v>
      </c>
      <c r="I1582" s="368" t="str">
        <f>VLOOKUP(H1582,'Source Codes'!A$2:B$115,2,FALSE)</f>
        <v>HRMS Interface Journals</v>
      </c>
      <c r="J1582" s="412">
        <v>-11103844.6</v>
      </c>
      <c r="K1582" s="385">
        <v>45687</v>
      </c>
      <c r="L1582" s="387" t="s">
        <v>407</v>
      </c>
      <c r="M1582" s="390">
        <v>45687.3827662037</v>
      </c>
      <c r="N1582" s="367" t="s">
        <v>378</v>
      </c>
      <c r="O1582" s="368" t="s">
        <v>395</v>
      </c>
      <c r="P1582" s="367" t="str">
        <f t="shared" si="8"/>
        <v>Expense</v>
      </c>
      <c r="Q1582" s="366" t="s">
        <v>379</v>
      </c>
      <c r="R1582" s="366" t="s">
        <v>2567</v>
      </c>
      <c r="S1582" s="395" t="s">
        <v>203</v>
      </c>
    </row>
    <row r="1583" spans="1:19" ht="15" hidden="1" outlineLevel="1">
      <c r="B1583" s="384">
        <v>2025</v>
      </c>
      <c r="C1583" s="384">
        <v>7</v>
      </c>
      <c r="D1583" s="367" t="s">
        <v>5</v>
      </c>
      <c r="E1583" s="367" t="s">
        <v>6</v>
      </c>
      <c r="F1583" s="389" t="s">
        <v>2608</v>
      </c>
      <c r="G1583" s="385">
        <v>45679</v>
      </c>
      <c r="H1583" s="367" t="s">
        <v>7</v>
      </c>
      <c r="I1583" s="368" t="str">
        <f>VLOOKUP(H1583,'Source Codes'!A$2:B$115,2,FALSE)</f>
        <v>HRMS Interface Journals</v>
      </c>
      <c r="J1583" s="412">
        <v>-68812943.790000007</v>
      </c>
      <c r="K1583" s="385">
        <v>45687</v>
      </c>
      <c r="L1583" s="387" t="s">
        <v>406</v>
      </c>
      <c r="M1583" s="390">
        <v>45687.391296296293</v>
      </c>
      <c r="N1583" s="367" t="s">
        <v>378</v>
      </c>
      <c r="O1583" s="368" t="s">
        <v>371</v>
      </c>
      <c r="P1583" s="367" t="str">
        <f t="shared" si="8"/>
        <v>Expense</v>
      </c>
      <c r="Q1583" s="366" t="s">
        <v>379</v>
      </c>
      <c r="R1583" s="366" t="s">
        <v>2567</v>
      </c>
      <c r="S1583" s="395" t="s">
        <v>203</v>
      </c>
    </row>
    <row r="1584" spans="1:19" ht="12.75" customHeight="1" collapsed="1">
      <c r="B1584" s="396"/>
      <c r="C1584" s="396"/>
      <c r="J1584" s="413">
        <f>SUM(J1576:J1583)</f>
        <v>-217205316.32000005</v>
      </c>
    </row>
    <row r="1585" spans="1:19" ht="12.75" customHeight="1">
      <c r="B1585" s="396"/>
      <c r="C1585" s="396"/>
    </row>
    <row r="1586" spans="1:19" ht="12.75" customHeight="1">
      <c r="A1586" s="378" t="s">
        <v>2621</v>
      </c>
      <c r="B1586" s="396"/>
      <c r="C1586" s="396"/>
    </row>
    <row r="1587" spans="1:19" ht="30" hidden="1" outlineLevel="1">
      <c r="B1587" s="384">
        <v>2025</v>
      </c>
      <c r="C1587" s="384">
        <v>7</v>
      </c>
      <c r="D1587" s="367" t="s">
        <v>5</v>
      </c>
      <c r="E1587" s="367" t="s">
        <v>6</v>
      </c>
      <c r="F1587" s="389" t="s">
        <v>2622</v>
      </c>
      <c r="G1587" s="385">
        <v>45686</v>
      </c>
      <c r="H1587" s="367" t="s">
        <v>12</v>
      </c>
      <c r="I1587" s="368" t="str">
        <f>VLOOKUP(H1587,'Source Codes'!A$2:B$115,2,FALSE)</f>
        <v>AR Direct Cash Journal</v>
      </c>
      <c r="J1587" s="412">
        <v>1000000</v>
      </c>
      <c r="K1587" s="385">
        <v>45688</v>
      </c>
      <c r="L1587" s="387" t="s">
        <v>2635</v>
      </c>
      <c r="M1587" s="390">
        <v>45688.751759259256</v>
      </c>
      <c r="N1587" s="367" t="s">
        <v>387</v>
      </c>
      <c r="O1587" s="368" t="s">
        <v>358</v>
      </c>
      <c r="P1587" s="367" t="str">
        <f t="shared" ref="P1587:P1592" si="9">IF(J1587&gt;0,"Revenue",IF(J1587&lt;0,"Expense"))</f>
        <v>Revenue</v>
      </c>
      <c r="Q1587" s="366" t="s">
        <v>2629</v>
      </c>
      <c r="R1587" s="366" t="s">
        <v>2630</v>
      </c>
      <c r="S1587" s="395">
        <v>230100</v>
      </c>
    </row>
    <row r="1588" spans="1:19" ht="30" hidden="1" outlineLevel="1">
      <c r="B1588" s="384">
        <v>2025</v>
      </c>
      <c r="C1588" s="384">
        <v>7</v>
      </c>
      <c r="D1588" s="367" t="s">
        <v>5</v>
      </c>
      <c r="E1588" s="367" t="s">
        <v>6</v>
      </c>
      <c r="F1588" s="389" t="s">
        <v>2623</v>
      </c>
      <c r="G1588" s="385">
        <v>45686</v>
      </c>
      <c r="H1588" s="367" t="s">
        <v>12</v>
      </c>
      <c r="I1588" s="368" t="str">
        <f>VLOOKUP(H1588,'Source Codes'!A$2:B$115,2,FALSE)</f>
        <v>AR Direct Cash Journal</v>
      </c>
      <c r="J1588" s="412">
        <v>1151529.8600000001</v>
      </c>
      <c r="K1588" s="385">
        <v>45688</v>
      </c>
      <c r="L1588" s="387" t="s">
        <v>2636</v>
      </c>
      <c r="M1588" s="390">
        <v>45688.751759259256</v>
      </c>
      <c r="N1588" s="367" t="s">
        <v>356</v>
      </c>
      <c r="O1588" s="368" t="s">
        <v>2631</v>
      </c>
      <c r="P1588" s="367" t="str">
        <f t="shared" si="9"/>
        <v>Revenue</v>
      </c>
      <c r="Q1588" s="366" t="s">
        <v>2632</v>
      </c>
      <c r="R1588" s="366" t="s">
        <v>2632</v>
      </c>
      <c r="S1588" s="395" t="s">
        <v>203</v>
      </c>
    </row>
    <row r="1589" spans="1:19" ht="30" hidden="1" outlineLevel="1">
      <c r="B1589" s="384">
        <v>2025</v>
      </c>
      <c r="C1589" s="384">
        <v>7</v>
      </c>
      <c r="D1589" s="367" t="s">
        <v>5</v>
      </c>
      <c r="E1589" s="367" t="s">
        <v>6</v>
      </c>
      <c r="F1589" s="389" t="s">
        <v>2624</v>
      </c>
      <c r="G1589" s="385">
        <v>45681</v>
      </c>
      <c r="H1589" s="367" t="s">
        <v>12</v>
      </c>
      <c r="I1589" s="368" t="str">
        <f>VLOOKUP(H1589,'Source Codes'!A$2:B$115,2,FALSE)</f>
        <v>AR Direct Cash Journal</v>
      </c>
      <c r="J1589" s="412">
        <v>2032847.15</v>
      </c>
      <c r="K1589" s="385">
        <v>45688</v>
      </c>
      <c r="L1589" s="387" t="s">
        <v>2634</v>
      </c>
      <c r="M1589" s="390">
        <v>45688.751759259256</v>
      </c>
      <c r="N1589" s="367" t="s">
        <v>361</v>
      </c>
      <c r="O1589" s="368" t="s">
        <v>368</v>
      </c>
      <c r="P1589" s="367" t="str">
        <f t="shared" si="9"/>
        <v>Revenue</v>
      </c>
      <c r="Q1589" s="366" t="s">
        <v>2177</v>
      </c>
      <c r="R1589" s="366" t="s">
        <v>2633</v>
      </c>
      <c r="S1589" s="395">
        <v>767210</v>
      </c>
    </row>
    <row r="1590" spans="1:19" ht="30" hidden="1" outlineLevel="1">
      <c r="B1590" s="384">
        <v>2025</v>
      </c>
      <c r="C1590" s="384">
        <v>7</v>
      </c>
      <c r="D1590" s="367" t="s">
        <v>5</v>
      </c>
      <c r="E1590" s="367" t="s">
        <v>6</v>
      </c>
      <c r="F1590" s="389" t="s">
        <v>2625</v>
      </c>
      <c r="G1590" s="385">
        <v>45688</v>
      </c>
      <c r="H1590" s="367" t="s">
        <v>12</v>
      </c>
      <c r="I1590" s="368" t="str">
        <f>VLOOKUP(H1590,'Source Codes'!A$2:B$115,2,FALSE)</f>
        <v>AR Direct Cash Journal</v>
      </c>
      <c r="J1590" s="412">
        <v>6046547.3799999999</v>
      </c>
      <c r="K1590" s="385">
        <v>45688</v>
      </c>
      <c r="L1590" s="387" t="s">
        <v>2638</v>
      </c>
      <c r="M1590" s="390">
        <v>45688.751759259256</v>
      </c>
      <c r="N1590" s="367" t="s">
        <v>356</v>
      </c>
      <c r="O1590" s="368" t="s">
        <v>370</v>
      </c>
      <c r="P1590" s="367" t="str">
        <f t="shared" si="9"/>
        <v>Revenue</v>
      </c>
      <c r="Q1590" s="366" t="s">
        <v>2264</v>
      </c>
      <c r="R1590" s="366" t="s">
        <v>2265</v>
      </c>
      <c r="S1590" s="395" t="s">
        <v>2637</v>
      </c>
    </row>
    <row r="1591" spans="1:19" ht="30" hidden="1" outlineLevel="1">
      <c r="B1591" s="384">
        <v>2025</v>
      </c>
      <c r="C1591" s="384">
        <v>7</v>
      </c>
      <c r="D1591" s="367" t="s">
        <v>5</v>
      </c>
      <c r="E1591" s="367" t="s">
        <v>6</v>
      </c>
      <c r="F1591" s="389" t="s">
        <v>2626</v>
      </c>
      <c r="G1591" s="385">
        <v>45680</v>
      </c>
      <c r="H1591" s="367" t="s">
        <v>9</v>
      </c>
      <c r="I1591" s="368" t="str">
        <f>VLOOKUP(H1591,'Source Codes'!A$2:B$115,2,FALSE)</f>
        <v>On Line Journal Entries</v>
      </c>
      <c r="J1591" s="412">
        <v>46213117.18</v>
      </c>
      <c r="K1591" s="385">
        <v>45688</v>
      </c>
      <c r="L1591" s="387" t="s">
        <v>2640</v>
      </c>
      <c r="M1591" s="390">
        <v>45688.871238425927</v>
      </c>
      <c r="N1591" s="367" t="s">
        <v>2185</v>
      </c>
      <c r="O1591" s="368" t="s">
        <v>368</v>
      </c>
      <c r="P1591" s="367" t="str">
        <f t="shared" si="9"/>
        <v>Revenue</v>
      </c>
      <c r="Q1591" s="366" t="s">
        <v>2662</v>
      </c>
      <c r="R1591" s="366" t="s">
        <v>2639</v>
      </c>
      <c r="S1591" s="395">
        <v>751040</v>
      </c>
    </row>
    <row r="1592" spans="1:19" ht="15" hidden="1" outlineLevel="1">
      <c r="B1592" s="384">
        <v>2025</v>
      </c>
      <c r="C1592" s="384">
        <v>7</v>
      </c>
      <c r="D1592" s="367" t="s">
        <v>5</v>
      </c>
      <c r="E1592" s="367" t="s">
        <v>6</v>
      </c>
      <c r="F1592" s="389" t="s">
        <v>2627</v>
      </c>
      <c r="G1592" s="385">
        <v>45664</v>
      </c>
      <c r="H1592" s="367" t="s">
        <v>9</v>
      </c>
      <c r="I1592" s="368" t="str">
        <f>VLOOKUP(H1592,'Source Codes'!A$2:B$115,2,FALSE)</f>
        <v>On Line Journal Entries</v>
      </c>
      <c r="J1592" s="412">
        <v>28253325.059999999</v>
      </c>
      <c r="K1592" s="385">
        <v>45688</v>
      </c>
      <c r="L1592" s="387" t="s">
        <v>2628</v>
      </c>
      <c r="M1592" s="390">
        <v>45688.591122685182</v>
      </c>
      <c r="N1592" s="367" t="s">
        <v>507</v>
      </c>
      <c r="O1592" s="368" t="s">
        <v>368</v>
      </c>
      <c r="P1592" s="367" t="str">
        <f t="shared" si="9"/>
        <v>Revenue</v>
      </c>
      <c r="Q1592" s="366" t="s">
        <v>2177</v>
      </c>
      <c r="R1592" s="366" t="s">
        <v>2641</v>
      </c>
      <c r="S1592" s="395">
        <v>755900</v>
      </c>
    </row>
    <row r="1593" spans="1:19" ht="12.75" customHeight="1" collapsed="1">
      <c r="B1593" s="396"/>
      <c r="C1593" s="396"/>
      <c r="J1593" s="413">
        <f>SUM(J1587:J1592)</f>
        <v>84697366.629999995</v>
      </c>
    </row>
    <row r="1594" spans="1:19" ht="12.75" customHeight="1">
      <c r="B1594" s="396"/>
      <c r="C1594" s="396"/>
    </row>
    <row r="1595" spans="1:19" ht="12.75" customHeight="1">
      <c r="A1595" s="378" t="s">
        <v>2642</v>
      </c>
      <c r="B1595" s="396"/>
      <c r="C1595" s="396"/>
    </row>
    <row r="1596" spans="1:19" ht="30" hidden="1" outlineLevel="1">
      <c r="B1596" s="384">
        <v>2025</v>
      </c>
      <c r="C1596" s="384">
        <v>8</v>
      </c>
      <c r="D1596" s="367" t="s">
        <v>5</v>
      </c>
      <c r="E1596" s="367" t="s">
        <v>6</v>
      </c>
      <c r="F1596" s="389" t="s">
        <v>2643</v>
      </c>
      <c r="G1596" s="385">
        <v>45693</v>
      </c>
      <c r="H1596" s="367" t="s">
        <v>14</v>
      </c>
      <c r="I1596" s="368" t="str">
        <f>VLOOKUP(H1596,'Source Codes'!A$2:B$115,2,FALSE)</f>
        <v>AP Warrant Issuance</v>
      </c>
      <c r="J1596" s="412">
        <v>-5052277.66</v>
      </c>
      <c r="K1596" s="385">
        <v>45691</v>
      </c>
      <c r="L1596" s="387" t="s">
        <v>2654</v>
      </c>
      <c r="M1596" s="390">
        <v>45691.8830787037</v>
      </c>
      <c r="N1596" s="367" t="s">
        <v>356</v>
      </c>
      <c r="O1596" s="368" t="s">
        <v>368</v>
      </c>
      <c r="P1596" s="367" t="str">
        <f>IF(J1596&gt;0,"Revenue",IF(J1596&lt;0,"Expense"))</f>
        <v>Expense</v>
      </c>
      <c r="Q1596" s="366" t="s">
        <v>2154</v>
      </c>
      <c r="R1596" s="366" t="s">
        <v>2154</v>
      </c>
      <c r="S1596" s="395" t="s">
        <v>203</v>
      </c>
    </row>
    <row r="1597" spans="1:19" ht="30" hidden="1" outlineLevel="1">
      <c r="B1597" s="384">
        <v>2025</v>
      </c>
      <c r="C1597" s="384">
        <v>8</v>
      </c>
      <c r="D1597" s="367" t="s">
        <v>5</v>
      </c>
      <c r="E1597" s="367" t="s">
        <v>6</v>
      </c>
      <c r="F1597" s="389" t="s">
        <v>2644</v>
      </c>
      <c r="G1597" s="385">
        <v>45691</v>
      </c>
      <c r="H1597" s="367" t="s">
        <v>14</v>
      </c>
      <c r="I1597" s="368" t="str">
        <f>VLOOKUP(H1597,'Source Codes'!A$2:B$115,2,FALSE)</f>
        <v>AP Warrant Issuance</v>
      </c>
      <c r="J1597" s="412">
        <v>-2382633.9</v>
      </c>
      <c r="K1597" s="385">
        <v>45691</v>
      </c>
      <c r="L1597" s="387" t="s">
        <v>2655</v>
      </c>
      <c r="M1597" s="390">
        <v>45691.8830787037</v>
      </c>
      <c r="N1597" s="367" t="s">
        <v>356</v>
      </c>
      <c r="O1597" s="368" t="s">
        <v>368</v>
      </c>
      <c r="P1597" s="367" t="str">
        <f>IF(J1597&gt;0,"Revenue",IF(J1597&lt;0,"Expense"))</f>
        <v>Expense</v>
      </c>
      <c r="Q1597" s="366" t="s">
        <v>2154</v>
      </c>
      <c r="R1597" s="366" t="s">
        <v>2154</v>
      </c>
      <c r="S1597" s="395" t="s">
        <v>203</v>
      </c>
    </row>
    <row r="1598" spans="1:19" ht="45" hidden="1" outlineLevel="1">
      <c r="B1598" s="384">
        <v>2025</v>
      </c>
      <c r="C1598" s="384">
        <v>8</v>
      </c>
      <c r="D1598" s="367" t="s">
        <v>5</v>
      </c>
      <c r="E1598" s="367" t="s">
        <v>6</v>
      </c>
      <c r="F1598" s="389" t="s">
        <v>2645</v>
      </c>
      <c r="G1598" s="385">
        <v>45693</v>
      </c>
      <c r="H1598" s="367" t="s">
        <v>14</v>
      </c>
      <c r="I1598" s="368" t="str">
        <f>VLOOKUP(H1598,'Source Codes'!A$2:B$115,2,FALSE)</f>
        <v>AP Warrant Issuance</v>
      </c>
      <c r="J1598" s="412">
        <v>-2300129.8199999998</v>
      </c>
      <c r="K1598" s="385">
        <v>45691</v>
      </c>
      <c r="L1598" s="387" t="s">
        <v>2656</v>
      </c>
      <c r="M1598" s="390">
        <v>45691.8830787037</v>
      </c>
      <c r="N1598" s="367" t="s">
        <v>356</v>
      </c>
      <c r="O1598" s="368" t="s">
        <v>357</v>
      </c>
      <c r="P1598" s="367" t="str">
        <f>IF(J1598&gt;0,"Revenue",IF(J1598&lt;0,"Expense"))</f>
        <v>Expense</v>
      </c>
      <c r="Q1598" s="366" t="s">
        <v>2309</v>
      </c>
      <c r="R1598" s="366" t="s">
        <v>2310</v>
      </c>
      <c r="S1598" s="395">
        <v>532690</v>
      </c>
    </row>
    <row r="1599" spans="1:19" ht="30" hidden="1" outlineLevel="1">
      <c r="B1599" s="384">
        <v>2025</v>
      </c>
      <c r="C1599" s="384">
        <v>7</v>
      </c>
      <c r="D1599" s="367" t="s">
        <v>5</v>
      </c>
      <c r="E1599" s="367" t="s">
        <v>6</v>
      </c>
      <c r="F1599" s="389" t="s">
        <v>2646</v>
      </c>
      <c r="G1599" s="385">
        <v>45671</v>
      </c>
      <c r="H1599" s="367" t="s">
        <v>9</v>
      </c>
      <c r="I1599" s="368" t="str">
        <f>VLOOKUP(H1599,'Source Codes'!A$2:B$115,2,FALSE)</f>
        <v>On Line Journal Entries</v>
      </c>
      <c r="J1599" s="412">
        <v>12607470</v>
      </c>
      <c r="K1599" s="385">
        <v>45691</v>
      </c>
      <c r="L1599" s="387" t="s">
        <v>2651</v>
      </c>
      <c r="M1599" s="390">
        <v>45691.449108796296</v>
      </c>
      <c r="N1599" s="367" t="s">
        <v>361</v>
      </c>
      <c r="O1599" s="368" t="s">
        <v>357</v>
      </c>
      <c r="P1599" s="367" t="s">
        <v>2290</v>
      </c>
      <c r="Q1599" s="366" t="s">
        <v>2671</v>
      </c>
      <c r="R1599" s="366" t="s">
        <v>2326</v>
      </c>
      <c r="S1599" s="395">
        <v>755900</v>
      </c>
    </row>
    <row r="1600" spans="1:19" ht="60" hidden="1" outlineLevel="1">
      <c r="B1600" s="384">
        <v>2025</v>
      </c>
      <c r="C1600" s="384">
        <v>7</v>
      </c>
      <c r="D1600" s="367" t="s">
        <v>5</v>
      </c>
      <c r="E1600" s="367" t="s">
        <v>6</v>
      </c>
      <c r="F1600" s="389" t="s">
        <v>2647</v>
      </c>
      <c r="G1600" s="385">
        <v>45674</v>
      </c>
      <c r="H1600" s="367" t="s">
        <v>9</v>
      </c>
      <c r="I1600" s="368" t="str">
        <f>VLOOKUP(H1600,'Source Codes'!A$2:B$115,2,FALSE)</f>
        <v>On Line Journal Entries</v>
      </c>
      <c r="J1600" s="412">
        <v>3575193.15</v>
      </c>
      <c r="K1600" s="385">
        <v>45692</v>
      </c>
      <c r="L1600" s="387" t="s">
        <v>347</v>
      </c>
      <c r="M1600" s="390">
        <v>45692.232928240737</v>
      </c>
      <c r="N1600" s="367" t="s">
        <v>356</v>
      </c>
      <c r="O1600" s="368" t="s">
        <v>364</v>
      </c>
      <c r="P1600" s="367" t="str">
        <f>IF(J1600&gt;0,"Revenue",IF(J1600&lt;0,"Expense"))</f>
        <v>Revenue</v>
      </c>
      <c r="Q1600" s="366" t="s">
        <v>2232</v>
      </c>
      <c r="R1600" s="366" t="s">
        <v>2232</v>
      </c>
      <c r="S1600" s="395">
        <v>230233</v>
      </c>
    </row>
    <row r="1601" spans="1:19" ht="30" hidden="1" outlineLevel="1">
      <c r="B1601" s="384">
        <v>2025</v>
      </c>
      <c r="C1601" s="384">
        <v>7</v>
      </c>
      <c r="D1601" s="367" t="s">
        <v>5</v>
      </c>
      <c r="E1601" s="367" t="s">
        <v>6</v>
      </c>
      <c r="F1601" s="389" t="s">
        <v>2648</v>
      </c>
      <c r="G1601" s="385">
        <v>45684</v>
      </c>
      <c r="H1601" s="367" t="s">
        <v>9</v>
      </c>
      <c r="I1601" s="368" t="str">
        <f>VLOOKUP(H1601,'Source Codes'!A$2:B$115,2,FALSE)</f>
        <v>On Line Journal Entries</v>
      </c>
      <c r="J1601" s="412">
        <v>-1713530.96</v>
      </c>
      <c r="K1601" s="385">
        <v>45692</v>
      </c>
      <c r="L1601" s="387" t="s">
        <v>2652</v>
      </c>
      <c r="M1601" s="390">
        <v>45692.232928240737</v>
      </c>
      <c r="N1601" s="367" t="s">
        <v>356</v>
      </c>
      <c r="O1601" s="368" t="s">
        <v>364</v>
      </c>
      <c r="P1601" s="367" t="str">
        <f>IF(J1601&gt;0,"Revenue",IF(J1601&lt;0,"Expense"))</f>
        <v>Expense</v>
      </c>
      <c r="Q1601" s="366" t="s">
        <v>2344</v>
      </c>
      <c r="R1601" s="366" t="s">
        <v>2344</v>
      </c>
      <c r="S1601" s="395">
        <v>530440</v>
      </c>
    </row>
    <row r="1602" spans="1:19" ht="30" hidden="1" outlineLevel="1">
      <c r="B1602" s="384">
        <v>2025</v>
      </c>
      <c r="C1602" s="384">
        <v>7</v>
      </c>
      <c r="D1602" s="367" t="s">
        <v>5</v>
      </c>
      <c r="E1602" s="367" t="s">
        <v>6</v>
      </c>
      <c r="F1602" s="389" t="s">
        <v>2649</v>
      </c>
      <c r="G1602" s="385">
        <v>45658</v>
      </c>
      <c r="H1602" s="367" t="s">
        <v>9</v>
      </c>
      <c r="I1602" s="368" t="str">
        <f>VLOOKUP(H1602,'Source Codes'!A$2:B$115,2,FALSE)</f>
        <v>On Line Journal Entries</v>
      </c>
      <c r="J1602" s="412">
        <v>-3760329.57</v>
      </c>
      <c r="K1602" s="385">
        <v>45692</v>
      </c>
      <c r="L1602" s="387" t="s">
        <v>2653</v>
      </c>
      <c r="M1602" s="390">
        <v>45692.232928240737</v>
      </c>
      <c r="N1602" s="367" t="s">
        <v>387</v>
      </c>
      <c r="O1602" s="368" t="s">
        <v>374</v>
      </c>
      <c r="P1602" s="367" t="str">
        <f>IF(J1602&gt;0,"Revenue",IF(J1602&lt;0,"Expense"))</f>
        <v>Expense</v>
      </c>
      <c r="Q1602" s="366" t="s">
        <v>2660</v>
      </c>
      <c r="R1602" s="366" t="s">
        <v>2659</v>
      </c>
      <c r="S1602" s="395" t="s">
        <v>2658</v>
      </c>
    </row>
    <row r="1603" spans="1:19" ht="30" hidden="1" outlineLevel="1">
      <c r="B1603" s="384">
        <v>2025</v>
      </c>
      <c r="C1603" s="384">
        <v>7</v>
      </c>
      <c r="D1603" s="367" t="s">
        <v>5</v>
      </c>
      <c r="E1603" s="367" t="s">
        <v>6</v>
      </c>
      <c r="F1603" s="389" t="s">
        <v>2650</v>
      </c>
      <c r="G1603" s="385">
        <v>45684</v>
      </c>
      <c r="H1603" s="367" t="s">
        <v>9</v>
      </c>
      <c r="I1603" s="368" t="str">
        <f>VLOOKUP(H1603,'Source Codes'!A$2:B$115,2,FALSE)</f>
        <v>On Line Journal Entries</v>
      </c>
      <c r="J1603" s="412">
        <v>-6461344.1799999997</v>
      </c>
      <c r="K1603" s="385">
        <v>45692</v>
      </c>
      <c r="L1603" s="387" t="s">
        <v>2661</v>
      </c>
      <c r="M1603" s="390">
        <v>45692.232928240737</v>
      </c>
      <c r="N1603" s="367" t="s">
        <v>2185</v>
      </c>
      <c r="O1603" s="368" t="s">
        <v>368</v>
      </c>
      <c r="P1603" s="367" t="str">
        <f>IF(J1603&gt;0,"Revenue",IF(J1603&lt;0,"Expense"))</f>
        <v>Expense</v>
      </c>
      <c r="Q1603" s="366" t="s">
        <v>2662</v>
      </c>
      <c r="R1603" s="366" t="s">
        <v>2663</v>
      </c>
      <c r="S1603" s="395">
        <v>751040</v>
      </c>
    </row>
    <row r="1604" spans="1:19" ht="12.75" customHeight="1" collapsed="1">
      <c r="B1604" s="396"/>
      <c r="C1604" s="396"/>
      <c r="J1604" s="413">
        <f>SUM(J1596:J1603)</f>
        <v>-5487582.9399999995</v>
      </c>
    </row>
    <row r="1605" spans="1:19" ht="12.75" customHeight="1">
      <c r="B1605" s="396"/>
      <c r="C1605" s="396"/>
    </row>
    <row r="1606" spans="1:19" ht="12.75" customHeight="1">
      <c r="A1606" s="378" t="s">
        <v>2664</v>
      </c>
      <c r="B1606" s="396"/>
      <c r="C1606" s="396"/>
    </row>
    <row r="1607" spans="1:19" ht="30" hidden="1" outlineLevel="1">
      <c r="B1607" s="384">
        <v>2025</v>
      </c>
      <c r="C1607" s="384">
        <v>7</v>
      </c>
      <c r="D1607" s="367" t="s">
        <v>5</v>
      </c>
      <c r="E1607" s="367" t="s">
        <v>6</v>
      </c>
      <c r="F1607" s="389" t="s">
        <v>2665</v>
      </c>
      <c r="G1607" s="385">
        <v>45688</v>
      </c>
      <c r="H1607" s="367" t="s">
        <v>11</v>
      </c>
      <c r="I1607" s="368" t="str">
        <f>VLOOKUP(H1607,'Source Codes'!A$2:B$115,2,FALSE)</f>
        <v>AR Payments</v>
      </c>
      <c r="J1607" s="412">
        <v>1817719.61</v>
      </c>
      <c r="K1607" s="385">
        <v>45692</v>
      </c>
      <c r="L1607" s="387" t="s">
        <v>2670</v>
      </c>
      <c r="M1607" s="390">
        <v>45692.759768518517</v>
      </c>
      <c r="N1607" s="367" t="s">
        <v>356</v>
      </c>
      <c r="O1607" s="368" t="s">
        <v>357</v>
      </c>
      <c r="P1607" s="367" t="str">
        <f>IF(J1607&gt;0,"Revenue",IF(J1607&lt;0,"Expense"))</f>
        <v>Revenue</v>
      </c>
      <c r="Q1607" s="366" t="s">
        <v>2157</v>
      </c>
      <c r="R1607" s="366" t="s">
        <v>2157</v>
      </c>
      <c r="S1607" s="395">
        <v>118501</v>
      </c>
    </row>
    <row r="1608" spans="1:19" ht="15" hidden="1" outlineLevel="1">
      <c r="B1608" s="384">
        <v>2025</v>
      </c>
      <c r="C1608" s="384">
        <v>7</v>
      </c>
      <c r="D1608" s="367" t="s">
        <v>5</v>
      </c>
      <c r="E1608" s="367" t="s">
        <v>6</v>
      </c>
      <c r="F1608" s="389" t="s">
        <v>2666</v>
      </c>
      <c r="G1608" s="385">
        <v>45684</v>
      </c>
      <c r="H1608" s="367" t="s">
        <v>9</v>
      </c>
      <c r="I1608" s="368" t="str">
        <f>VLOOKUP(H1608,'Source Codes'!A$2:B$115,2,FALSE)</f>
        <v>On Line Journal Entries</v>
      </c>
      <c r="J1608" s="412">
        <v>21461344.18</v>
      </c>
      <c r="K1608" s="385">
        <v>45692</v>
      </c>
      <c r="L1608" s="387" t="s">
        <v>2668</v>
      </c>
      <c r="M1608" s="390">
        <v>45692.461805555555</v>
      </c>
      <c r="N1608" s="367" t="s">
        <v>361</v>
      </c>
      <c r="O1608" s="368" t="s">
        <v>368</v>
      </c>
      <c r="P1608" s="367" t="str">
        <f>IF(J1608&gt;0,"Revenue",IF(J1608&lt;0,"Expense"))</f>
        <v>Revenue</v>
      </c>
      <c r="Q1608" s="366" t="s">
        <v>2662</v>
      </c>
      <c r="R1608" s="366" t="s">
        <v>2639</v>
      </c>
      <c r="S1608" s="395">
        <v>751040</v>
      </c>
    </row>
    <row r="1609" spans="1:19" ht="45" hidden="1" outlineLevel="1">
      <c r="B1609" s="384">
        <v>2025</v>
      </c>
      <c r="C1609" s="384">
        <v>7</v>
      </c>
      <c r="D1609" s="367" t="s">
        <v>5</v>
      </c>
      <c r="E1609" s="367" t="s">
        <v>6</v>
      </c>
      <c r="F1609" s="389" t="s">
        <v>2667</v>
      </c>
      <c r="G1609" s="385">
        <v>45680</v>
      </c>
      <c r="H1609" s="367" t="s">
        <v>9</v>
      </c>
      <c r="I1609" s="368" t="str">
        <f>VLOOKUP(H1609,'Source Codes'!A$2:B$115,2,FALSE)</f>
        <v>On Line Journal Entries</v>
      </c>
      <c r="J1609" s="412">
        <v>4844379.24</v>
      </c>
      <c r="K1609" s="385">
        <v>45692</v>
      </c>
      <c r="L1609" s="387" t="s">
        <v>2669</v>
      </c>
      <c r="M1609" s="390">
        <v>45692.426608796297</v>
      </c>
      <c r="N1609" s="367" t="s">
        <v>361</v>
      </c>
      <c r="O1609" s="368" t="s">
        <v>376</v>
      </c>
      <c r="P1609" s="367" t="str">
        <f>IF(J1609&gt;0,"Revenue",IF(J1609&lt;0,"Expense"))</f>
        <v>Revenue</v>
      </c>
      <c r="Q1609" s="366" t="s">
        <v>2657</v>
      </c>
      <c r="R1609" s="366" t="s">
        <v>2326</v>
      </c>
      <c r="S1609" s="395">
        <v>755928</v>
      </c>
    </row>
    <row r="1610" spans="1:19" ht="12.75" customHeight="1" collapsed="1">
      <c r="B1610" s="396"/>
      <c r="C1610" s="396"/>
      <c r="J1610" s="413">
        <f>SUM(J1607:J1609)</f>
        <v>28123443.030000001</v>
      </c>
    </row>
    <row r="1611" spans="1:19" ht="12.75" customHeight="1">
      <c r="B1611" s="396"/>
      <c r="C1611" s="396"/>
    </row>
    <row r="1612" spans="1:19" ht="12.75" customHeight="1">
      <c r="A1612" s="378" t="s">
        <v>2672</v>
      </c>
      <c r="B1612" s="396"/>
      <c r="C1612" s="396"/>
    </row>
    <row r="1613" spans="1:19" ht="75" hidden="1" outlineLevel="1">
      <c r="B1613" s="384">
        <v>2025</v>
      </c>
      <c r="C1613" s="384">
        <v>8</v>
      </c>
      <c r="D1613" s="367" t="s">
        <v>5</v>
      </c>
      <c r="E1613" s="367" t="s">
        <v>6</v>
      </c>
      <c r="F1613" s="389" t="s">
        <v>2673</v>
      </c>
      <c r="G1613" s="385">
        <v>45695</v>
      </c>
      <c r="H1613" s="367" t="s">
        <v>14</v>
      </c>
      <c r="I1613" s="368" t="str">
        <f>VLOOKUP(H1613,'Source Codes'!A$2:B$115,2,FALSE)</f>
        <v>AP Warrant Issuance</v>
      </c>
      <c r="J1613" s="412">
        <v>-5777086.4199999999</v>
      </c>
      <c r="K1613" s="385">
        <v>45693</v>
      </c>
      <c r="L1613" s="387" t="s">
        <v>2680</v>
      </c>
      <c r="M1613" s="390">
        <v>45693.793993055559</v>
      </c>
      <c r="N1613" s="367" t="s">
        <v>356</v>
      </c>
      <c r="O1613" s="368" t="s">
        <v>364</v>
      </c>
      <c r="P1613" s="367" t="str">
        <f t="shared" ref="P1613:P1618" si="10">IF(J1613&gt;0,"Revenue",IF(J1613&lt;0,"Expense"))</f>
        <v>Expense</v>
      </c>
      <c r="Q1613" s="366" t="s">
        <v>2254</v>
      </c>
      <c r="R1613" s="393">
        <v>45689</v>
      </c>
      <c r="S1613" s="395">
        <v>530440</v>
      </c>
    </row>
    <row r="1614" spans="1:19" ht="60" hidden="1" outlineLevel="1">
      <c r="B1614" s="384">
        <v>2025</v>
      </c>
      <c r="C1614" s="384">
        <v>8</v>
      </c>
      <c r="D1614" s="367" t="s">
        <v>5</v>
      </c>
      <c r="E1614" s="367" t="s">
        <v>6</v>
      </c>
      <c r="F1614" s="389" t="s">
        <v>2674</v>
      </c>
      <c r="G1614" s="385">
        <v>45692</v>
      </c>
      <c r="H1614" s="367" t="s">
        <v>14</v>
      </c>
      <c r="I1614" s="368" t="str">
        <f>VLOOKUP(H1614,'Source Codes'!A$2:B$115,2,FALSE)</f>
        <v>AP Warrant Issuance</v>
      </c>
      <c r="J1614" s="412">
        <v>-2242893.0099999998</v>
      </c>
      <c r="K1614" s="385">
        <v>45693</v>
      </c>
      <c r="L1614" s="387" t="s">
        <v>2681</v>
      </c>
      <c r="M1614" s="390">
        <v>45693.302187499998</v>
      </c>
      <c r="N1614" s="367" t="s">
        <v>361</v>
      </c>
      <c r="O1614" s="368" t="s">
        <v>362</v>
      </c>
      <c r="P1614" s="367" t="str">
        <f t="shared" si="10"/>
        <v>Expense</v>
      </c>
      <c r="Q1614" s="366" t="s">
        <v>2262</v>
      </c>
      <c r="R1614" s="366" t="s">
        <v>2262</v>
      </c>
      <c r="S1614" s="395">
        <v>525440</v>
      </c>
    </row>
    <row r="1615" spans="1:19" ht="30" hidden="1" outlineLevel="1">
      <c r="B1615" s="384">
        <v>2025</v>
      </c>
      <c r="C1615" s="384">
        <v>8</v>
      </c>
      <c r="D1615" s="367" t="s">
        <v>5</v>
      </c>
      <c r="E1615" s="367" t="s">
        <v>6</v>
      </c>
      <c r="F1615" s="389" t="s">
        <v>2675</v>
      </c>
      <c r="G1615" s="385">
        <v>45695</v>
      </c>
      <c r="H1615" s="367" t="s">
        <v>14</v>
      </c>
      <c r="I1615" s="368" t="str">
        <f>VLOOKUP(H1615,'Source Codes'!A$2:B$115,2,FALSE)</f>
        <v>AP Warrant Issuance</v>
      </c>
      <c r="J1615" s="412">
        <v>-1892228.01</v>
      </c>
      <c r="K1615" s="385">
        <v>45693</v>
      </c>
      <c r="L1615" s="387" t="s">
        <v>2682</v>
      </c>
      <c r="M1615" s="390">
        <v>45693.793993055559</v>
      </c>
      <c r="N1615" s="367" t="s">
        <v>356</v>
      </c>
      <c r="O1615" s="368" t="s">
        <v>368</v>
      </c>
      <c r="P1615" s="367" t="str">
        <f t="shared" si="10"/>
        <v>Expense</v>
      </c>
      <c r="Q1615" s="366" t="s">
        <v>2154</v>
      </c>
      <c r="R1615" s="366" t="s">
        <v>2154</v>
      </c>
      <c r="S1615" s="395" t="s">
        <v>203</v>
      </c>
    </row>
    <row r="1616" spans="1:19" ht="30" hidden="1" outlineLevel="1">
      <c r="B1616" s="384">
        <v>2025</v>
      </c>
      <c r="C1616" s="384">
        <v>8</v>
      </c>
      <c r="D1616" s="367" t="s">
        <v>5</v>
      </c>
      <c r="E1616" s="367" t="s">
        <v>6</v>
      </c>
      <c r="F1616" s="389" t="s">
        <v>2676</v>
      </c>
      <c r="G1616" s="385">
        <v>45693</v>
      </c>
      <c r="H1616" s="367" t="s">
        <v>14</v>
      </c>
      <c r="I1616" s="368" t="str">
        <f>VLOOKUP(H1616,'Source Codes'!A$2:B$115,2,FALSE)</f>
        <v>AP Warrant Issuance</v>
      </c>
      <c r="J1616" s="412">
        <v>-1327695.27</v>
      </c>
      <c r="K1616" s="385">
        <v>45693</v>
      </c>
      <c r="L1616" s="387" t="s">
        <v>2683</v>
      </c>
      <c r="M1616" s="390">
        <v>45693.793993055559</v>
      </c>
      <c r="N1616" s="367" t="s">
        <v>356</v>
      </c>
      <c r="O1616" s="368" t="s">
        <v>368</v>
      </c>
      <c r="P1616" s="367" t="str">
        <f t="shared" si="10"/>
        <v>Expense</v>
      </c>
      <c r="Q1616" s="366" t="s">
        <v>2154</v>
      </c>
      <c r="R1616" s="366" t="s">
        <v>2154</v>
      </c>
      <c r="S1616" s="395" t="s">
        <v>203</v>
      </c>
    </row>
    <row r="1617" spans="1:19" ht="75" hidden="1" outlineLevel="1">
      <c r="B1617" s="384">
        <v>2025</v>
      </c>
      <c r="C1617" s="384">
        <v>7</v>
      </c>
      <c r="D1617" s="367" t="s">
        <v>5</v>
      </c>
      <c r="E1617" s="367" t="s">
        <v>6</v>
      </c>
      <c r="F1617" s="389" t="s">
        <v>2677</v>
      </c>
      <c r="G1617" s="385">
        <v>45681</v>
      </c>
      <c r="H1617" s="367" t="s">
        <v>9</v>
      </c>
      <c r="I1617" s="368" t="str">
        <f>VLOOKUP(H1617,'Source Codes'!A$2:B$115,2,FALSE)</f>
        <v>On Line Journal Entries</v>
      </c>
      <c r="J1617" s="412">
        <v>4643019.07</v>
      </c>
      <c r="K1617" s="385">
        <v>45693</v>
      </c>
      <c r="L1617" s="387" t="s">
        <v>2684</v>
      </c>
      <c r="M1617" s="390">
        <v>45693.594837962963</v>
      </c>
      <c r="N1617" s="367" t="s">
        <v>361</v>
      </c>
      <c r="O1617" s="368" t="s">
        <v>376</v>
      </c>
      <c r="P1617" s="367" t="str">
        <f t="shared" si="10"/>
        <v>Revenue</v>
      </c>
      <c r="Q1617" s="366" t="s">
        <v>2685</v>
      </c>
      <c r="R1617" s="366" t="s">
        <v>2686</v>
      </c>
      <c r="S1617" s="395" t="s">
        <v>2687</v>
      </c>
    </row>
    <row r="1618" spans="1:19" ht="15" hidden="1" outlineLevel="1">
      <c r="B1618" s="384">
        <v>2025</v>
      </c>
      <c r="C1618" s="384">
        <v>7</v>
      </c>
      <c r="D1618" s="367" t="s">
        <v>5</v>
      </c>
      <c r="E1618" s="367" t="s">
        <v>6</v>
      </c>
      <c r="F1618" s="389" t="s">
        <v>2678</v>
      </c>
      <c r="G1618" s="385">
        <v>45688</v>
      </c>
      <c r="H1618" s="367" t="s">
        <v>351</v>
      </c>
      <c r="I1618" s="368" t="str">
        <f>VLOOKUP(H1618,'Source Codes'!A$2:B$115,2,FALSE)</f>
        <v>Treasurer Tax Collector</v>
      </c>
      <c r="J1618" s="412">
        <v>2067757.44</v>
      </c>
      <c r="K1618" s="385">
        <v>45693</v>
      </c>
      <c r="L1618" s="387" t="s">
        <v>2679</v>
      </c>
      <c r="M1618" s="390">
        <v>45693.496249999997</v>
      </c>
      <c r="N1618" s="367" t="s">
        <v>361</v>
      </c>
      <c r="O1618" s="368" t="s">
        <v>380</v>
      </c>
      <c r="P1618" s="367" t="str">
        <f t="shared" si="10"/>
        <v>Revenue</v>
      </c>
      <c r="Q1618" s="366" t="s">
        <v>2688</v>
      </c>
      <c r="R1618" s="366" t="s">
        <v>2689</v>
      </c>
      <c r="S1618" s="395" t="s">
        <v>203</v>
      </c>
    </row>
    <row r="1619" spans="1:19" ht="12.75" customHeight="1" collapsed="1">
      <c r="J1619" s="413">
        <f>SUM(J1613:J1618)</f>
        <v>-4529126.1999999993</v>
      </c>
    </row>
    <row r="1621" spans="1:19" ht="12.75" customHeight="1">
      <c r="A1621" s="378" t="s">
        <v>2690</v>
      </c>
    </row>
    <row r="1622" spans="1:19" ht="30" hidden="1" outlineLevel="1">
      <c r="B1622" s="384">
        <v>2025</v>
      </c>
      <c r="C1622" s="384">
        <v>8</v>
      </c>
      <c r="D1622" s="367" t="s">
        <v>5</v>
      </c>
      <c r="E1622" s="367" t="s">
        <v>6</v>
      </c>
      <c r="F1622" s="389" t="s">
        <v>2691</v>
      </c>
      <c r="G1622" s="385">
        <v>45694</v>
      </c>
      <c r="H1622" s="367" t="s">
        <v>12</v>
      </c>
      <c r="I1622" s="368" t="str">
        <f>VLOOKUP(H1622,'Source Codes'!A$2:B$115,2,FALSE)</f>
        <v>AR Direct Cash Journal</v>
      </c>
      <c r="J1622" s="412">
        <v>1284757.2</v>
      </c>
      <c r="K1622" s="385">
        <v>45694</v>
      </c>
      <c r="L1622" s="387" t="s">
        <v>2713</v>
      </c>
      <c r="M1622" s="390">
        <v>45694.752175925925</v>
      </c>
      <c r="N1622" s="367" t="s">
        <v>387</v>
      </c>
      <c r="O1622" s="368" t="s">
        <v>400</v>
      </c>
      <c r="P1622" s="367" t="str">
        <f t="shared" ref="P1622:P1632" si="11">IF(J1622&gt;0,"Revenue",IF(J1622&lt;0,"Expense"))</f>
        <v>Revenue</v>
      </c>
      <c r="Q1622" s="366" t="s">
        <v>2710</v>
      </c>
      <c r="R1622" s="366" t="s">
        <v>2711</v>
      </c>
      <c r="S1622" s="395" t="s">
        <v>2712</v>
      </c>
    </row>
    <row r="1623" spans="1:19" ht="60" hidden="1" outlineLevel="1">
      <c r="B1623" s="384">
        <v>2025</v>
      </c>
      <c r="C1623" s="384">
        <v>8</v>
      </c>
      <c r="D1623" s="367" t="s">
        <v>5</v>
      </c>
      <c r="E1623" s="367" t="s">
        <v>6</v>
      </c>
      <c r="F1623" s="389" t="s">
        <v>2692</v>
      </c>
      <c r="G1623" s="385">
        <v>45694</v>
      </c>
      <c r="H1623" s="367" t="s">
        <v>11</v>
      </c>
      <c r="I1623" s="368" t="str">
        <f>VLOOKUP(H1623,'Source Codes'!A$2:B$115,2,FALSE)</f>
        <v>AR Payments</v>
      </c>
      <c r="J1623" s="412">
        <v>3722011.13</v>
      </c>
      <c r="K1623" s="385">
        <v>45694</v>
      </c>
      <c r="L1623" s="387" t="s">
        <v>2714</v>
      </c>
      <c r="M1623" s="390">
        <v>45694.752175925925</v>
      </c>
      <c r="N1623" s="367" t="s">
        <v>356</v>
      </c>
      <c r="O1623" s="368" t="s">
        <v>362</v>
      </c>
      <c r="P1623" s="367" t="str">
        <f t="shared" si="11"/>
        <v>Revenue</v>
      </c>
      <c r="Q1623" s="366" t="s">
        <v>2360</v>
      </c>
      <c r="R1623" s="366" t="s">
        <v>2715</v>
      </c>
      <c r="S1623" s="395">
        <v>118301</v>
      </c>
    </row>
    <row r="1624" spans="1:19" ht="45" hidden="1" outlineLevel="1">
      <c r="B1624" s="384">
        <v>2025</v>
      </c>
      <c r="C1624" s="384">
        <v>7</v>
      </c>
      <c r="D1624" s="367" t="s">
        <v>5</v>
      </c>
      <c r="E1624" s="367" t="s">
        <v>6</v>
      </c>
      <c r="F1624" s="389" t="s">
        <v>2693</v>
      </c>
      <c r="G1624" s="385">
        <v>45687</v>
      </c>
      <c r="H1624" s="367" t="s">
        <v>9</v>
      </c>
      <c r="I1624" s="368" t="str">
        <f>VLOOKUP(H1624,'Source Codes'!A$2:B$115,2,FALSE)</f>
        <v>On Line Journal Entries</v>
      </c>
      <c r="J1624" s="412">
        <v>196008671</v>
      </c>
      <c r="K1624" s="385">
        <v>45694</v>
      </c>
      <c r="L1624" s="387" t="s">
        <v>2702</v>
      </c>
      <c r="M1624" s="390">
        <v>45694.348645833335</v>
      </c>
      <c r="N1624" s="367" t="s">
        <v>377</v>
      </c>
      <c r="O1624" s="368" t="s">
        <v>371</v>
      </c>
      <c r="P1624" s="367" t="str">
        <f t="shared" si="11"/>
        <v>Revenue</v>
      </c>
      <c r="Q1624" s="366" t="s">
        <v>2716</v>
      </c>
      <c r="R1624" s="366" t="s">
        <v>2718</v>
      </c>
      <c r="S1624" s="395">
        <v>750200</v>
      </c>
    </row>
    <row r="1625" spans="1:19" ht="30" hidden="1" outlineLevel="1">
      <c r="B1625" s="384">
        <v>2025</v>
      </c>
      <c r="C1625" s="384">
        <v>7</v>
      </c>
      <c r="D1625" s="367" t="s">
        <v>5</v>
      </c>
      <c r="E1625" s="367" t="s">
        <v>6</v>
      </c>
      <c r="F1625" s="389" t="s">
        <v>2694</v>
      </c>
      <c r="G1625" s="385">
        <v>45684</v>
      </c>
      <c r="H1625" s="367" t="s">
        <v>9</v>
      </c>
      <c r="I1625" s="368" t="str">
        <f>VLOOKUP(H1625,'Source Codes'!A$2:B$115,2,FALSE)</f>
        <v>On Line Journal Entries</v>
      </c>
      <c r="J1625" s="412">
        <v>23208407.59</v>
      </c>
      <c r="K1625" s="385">
        <v>45694</v>
      </c>
      <c r="L1625" s="387" t="s">
        <v>2703</v>
      </c>
      <c r="M1625" s="390">
        <v>45694.364444444444</v>
      </c>
      <c r="N1625" s="367" t="s">
        <v>356</v>
      </c>
      <c r="O1625" s="368" t="s">
        <v>371</v>
      </c>
      <c r="P1625" s="367" t="str">
        <f t="shared" si="11"/>
        <v>Revenue</v>
      </c>
      <c r="Q1625" s="366" t="s">
        <v>2158</v>
      </c>
      <c r="R1625" s="366" t="s">
        <v>2717</v>
      </c>
      <c r="S1625" s="395">
        <v>755120</v>
      </c>
    </row>
    <row r="1626" spans="1:19" ht="45" hidden="1" outlineLevel="1">
      <c r="B1626" s="384">
        <v>2025</v>
      </c>
      <c r="C1626" s="384">
        <v>7</v>
      </c>
      <c r="D1626" s="367" t="s">
        <v>5</v>
      </c>
      <c r="E1626" s="367" t="s">
        <v>6</v>
      </c>
      <c r="F1626" s="389" t="s">
        <v>2695</v>
      </c>
      <c r="G1626" s="385">
        <v>45684</v>
      </c>
      <c r="H1626" s="367" t="s">
        <v>9</v>
      </c>
      <c r="I1626" s="368" t="str">
        <f>VLOOKUP(H1626,'Source Codes'!A$2:B$115,2,FALSE)</f>
        <v>On Line Journal Entries</v>
      </c>
      <c r="J1626" s="412">
        <v>11262278.640000001</v>
      </c>
      <c r="K1626" s="385">
        <v>45694</v>
      </c>
      <c r="L1626" s="387" t="s">
        <v>2704</v>
      </c>
      <c r="M1626" s="390">
        <v>45694.453321759262</v>
      </c>
      <c r="N1626" s="367" t="s">
        <v>356</v>
      </c>
      <c r="O1626" s="368" t="s">
        <v>371</v>
      </c>
      <c r="P1626" s="367" t="str">
        <f t="shared" si="11"/>
        <v>Revenue</v>
      </c>
      <c r="Q1626" s="366" t="s">
        <v>2427</v>
      </c>
      <c r="R1626" s="366" t="s">
        <v>2720</v>
      </c>
      <c r="S1626" s="395" t="s">
        <v>2160</v>
      </c>
    </row>
    <row r="1627" spans="1:19" ht="60" hidden="1" outlineLevel="1">
      <c r="B1627" s="384">
        <v>2025</v>
      </c>
      <c r="C1627" s="384">
        <v>7</v>
      </c>
      <c r="D1627" s="367" t="s">
        <v>5</v>
      </c>
      <c r="E1627" s="367" t="s">
        <v>6</v>
      </c>
      <c r="F1627" s="389" t="s">
        <v>2696</v>
      </c>
      <c r="G1627" s="385">
        <v>45684</v>
      </c>
      <c r="H1627" s="367" t="s">
        <v>9</v>
      </c>
      <c r="I1627" s="368" t="str">
        <f>VLOOKUP(H1627,'Source Codes'!A$2:B$115,2,FALSE)</f>
        <v>On Line Journal Entries</v>
      </c>
      <c r="J1627" s="412">
        <v>3348859.09</v>
      </c>
      <c r="K1627" s="385">
        <v>45694</v>
      </c>
      <c r="L1627" s="387" t="s">
        <v>2705</v>
      </c>
      <c r="M1627" s="390">
        <v>45694.418229166666</v>
      </c>
      <c r="N1627" s="367" t="s">
        <v>356</v>
      </c>
      <c r="O1627" s="368" t="s">
        <v>371</v>
      </c>
      <c r="P1627" s="367" t="str">
        <f t="shared" si="11"/>
        <v>Revenue</v>
      </c>
      <c r="Q1627" s="366" t="s">
        <v>2163</v>
      </c>
      <c r="R1627" s="366" t="s">
        <v>2721</v>
      </c>
      <c r="S1627" s="395">
        <v>750900</v>
      </c>
    </row>
    <row r="1628" spans="1:19" ht="15" hidden="1" outlineLevel="1">
      <c r="B1628" s="384">
        <v>2025</v>
      </c>
      <c r="C1628" s="384">
        <v>7</v>
      </c>
      <c r="D1628" s="367" t="s">
        <v>5</v>
      </c>
      <c r="E1628" s="367" t="s">
        <v>6</v>
      </c>
      <c r="F1628" s="389" t="s">
        <v>2697</v>
      </c>
      <c r="G1628" s="385">
        <v>45684</v>
      </c>
      <c r="H1628" s="367" t="s">
        <v>9</v>
      </c>
      <c r="I1628" s="368" t="str">
        <f>VLOOKUP(H1628,'Source Codes'!A$2:B$115,2,FALSE)</f>
        <v>On Line Journal Entries</v>
      </c>
      <c r="J1628" s="412">
        <v>1633024.99</v>
      </c>
      <c r="K1628" s="385">
        <v>45694</v>
      </c>
      <c r="L1628" s="387" t="s">
        <v>2706</v>
      </c>
      <c r="M1628" s="390">
        <v>45694.462245370371</v>
      </c>
      <c r="N1628" s="367" t="s">
        <v>356</v>
      </c>
      <c r="O1628" s="368" t="s">
        <v>371</v>
      </c>
      <c r="P1628" s="367" t="str">
        <f t="shared" si="11"/>
        <v>Revenue</v>
      </c>
      <c r="Q1628" s="366" t="s">
        <v>2164</v>
      </c>
      <c r="R1628" s="397" t="s">
        <v>2723</v>
      </c>
      <c r="S1628" s="395">
        <v>755909</v>
      </c>
    </row>
    <row r="1629" spans="1:19" ht="45" hidden="1" outlineLevel="1">
      <c r="B1629" s="384">
        <v>2025</v>
      </c>
      <c r="C1629" s="384">
        <v>7</v>
      </c>
      <c r="D1629" s="367" t="s">
        <v>5</v>
      </c>
      <c r="E1629" s="367" t="s">
        <v>6</v>
      </c>
      <c r="F1629" s="389" t="s">
        <v>2698</v>
      </c>
      <c r="G1629" s="385">
        <v>45684</v>
      </c>
      <c r="H1629" s="367" t="s">
        <v>9</v>
      </c>
      <c r="I1629" s="368" t="str">
        <f>VLOOKUP(H1629,'Source Codes'!A$2:B$115,2,FALSE)</f>
        <v>On Line Journal Entries</v>
      </c>
      <c r="J1629" s="412">
        <v>1072857.1000000001</v>
      </c>
      <c r="K1629" s="385">
        <v>45694</v>
      </c>
      <c r="L1629" s="387" t="s">
        <v>2707</v>
      </c>
      <c r="M1629" s="390">
        <v>45694.463368055556</v>
      </c>
      <c r="N1629" s="367" t="s">
        <v>356</v>
      </c>
      <c r="O1629" s="368" t="s">
        <v>371</v>
      </c>
      <c r="P1629" s="367" t="str">
        <f t="shared" si="11"/>
        <v>Revenue</v>
      </c>
      <c r="Q1629" s="366" t="s">
        <v>2165</v>
      </c>
      <c r="R1629" s="366" t="s">
        <v>2720</v>
      </c>
      <c r="S1629" s="395">
        <v>751500</v>
      </c>
    </row>
    <row r="1630" spans="1:19" ht="15" hidden="1" outlineLevel="1">
      <c r="B1630" s="384">
        <v>2025</v>
      </c>
      <c r="C1630" s="384">
        <v>8</v>
      </c>
      <c r="D1630" s="367" t="s">
        <v>5</v>
      </c>
      <c r="E1630" s="367" t="s">
        <v>6</v>
      </c>
      <c r="F1630" s="389" t="s">
        <v>2699</v>
      </c>
      <c r="G1630" s="385">
        <v>45691</v>
      </c>
      <c r="H1630" s="367" t="s">
        <v>13</v>
      </c>
      <c r="I1630" s="368" t="str">
        <f>VLOOKUP(H1630,'Source Codes'!A$2:B$115,2,FALSE)</f>
        <v>C-IV Voucher/Payments/EBT</v>
      </c>
      <c r="J1630" s="412">
        <v>-9514020.3800000008</v>
      </c>
      <c r="K1630" s="385">
        <v>45694</v>
      </c>
      <c r="L1630" s="387" t="s">
        <v>408</v>
      </c>
      <c r="M1630" s="390">
        <v>45694.870057870372</v>
      </c>
      <c r="N1630" s="367" t="s">
        <v>356</v>
      </c>
      <c r="O1630" s="368" t="s">
        <v>364</v>
      </c>
      <c r="P1630" s="367" t="str">
        <f t="shared" si="11"/>
        <v>Expense</v>
      </c>
      <c r="Q1630" s="366" t="s">
        <v>2204</v>
      </c>
      <c r="R1630" s="393">
        <v>45658</v>
      </c>
      <c r="S1630" s="395">
        <v>530480</v>
      </c>
    </row>
    <row r="1631" spans="1:19" ht="15" hidden="1" outlineLevel="1">
      <c r="B1631" s="384">
        <v>2025</v>
      </c>
      <c r="C1631" s="384">
        <v>8</v>
      </c>
      <c r="D1631" s="367" t="s">
        <v>5</v>
      </c>
      <c r="E1631" s="367" t="s">
        <v>6</v>
      </c>
      <c r="F1631" s="389" t="s">
        <v>2700</v>
      </c>
      <c r="G1631" s="385">
        <v>45689</v>
      </c>
      <c r="H1631" s="367" t="s">
        <v>13</v>
      </c>
      <c r="I1631" s="368" t="str">
        <f>VLOOKUP(H1631,'Source Codes'!A$2:B$115,2,FALSE)</f>
        <v>C-IV Voucher/Payments/EBT</v>
      </c>
      <c r="J1631" s="412">
        <v>-11693862.02</v>
      </c>
      <c r="K1631" s="385">
        <v>45694</v>
      </c>
      <c r="L1631" s="387" t="s">
        <v>2708</v>
      </c>
      <c r="M1631" s="390">
        <v>45694.870057870372</v>
      </c>
      <c r="N1631" s="367" t="s">
        <v>356</v>
      </c>
      <c r="O1631" s="368" t="s">
        <v>364</v>
      </c>
      <c r="P1631" s="367" t="str">
        <f t="shared" si="11"/>
        <v>Expense</v>
      </c>
      <c r="Q1631" s="366" t="s">
        <v>2204</v>
      </c>
      <c r="R1631" s="393">
        <v>45658</v>
      </c>
      <c r="S1631" s="395">
        <v>530480</v>
      </c>
    </row>
    <row r="1632" spans="1:19" ht="15" hidden="1" outlineLevel="1">
      <c r="B1632" s="384">
        <v>2025</v>
      </c>
      <c r="C1632" s="384">
        <v>8</v>
      </c>
      <c r="D1632" s="367" t="s">
        <v>5</v>
      </c>
      <c r="E1632" s="367" t="s">
        <v>6</v>
      </c>
      <c r="F1632" s="389" t="s">
        <v>2701</v>
      </c>
      <c r="G1632" s="385">
        <v>45689</v>
      </c>
      <c r="H1632" s="367" t="s">
        <v>13</v>
      </c>
      <c r="I1632" s="368" t="str">
        <f>VLOOKUP(H1632,'Source Codes'!A$2:B$115,2,FALSE)</f>
        <v>C-IV Voucher/Payments/EBT</v>
      </c>
      <c r="J1632" s="412">
        <v>-17174101.210000001</v>
      </c>
      <c r="K1632" s="385">
        <v>45694</v>
      </c>
      <c r="L1632" s="387" t="s">
        <v>2709</v>
      </c>
      <c r="M1632" s="390">
        <v>45694.870057870372</v>
      </c>
      <c r="N1632" s="367" t="s">
        <v>356</v>
      </c>
      <c r="O1632" s="368" t="s">
        <v>364</v>
      </c>
      <c r="P1632" s="367" t="str">
        <f t="shared" si="11"/>
        <v>Expense</v>
      </c>
      <c r="Q1632" s="366" t="s">
        <v>2204</v>
      </c>
      <c r="R1632" s="393">
        <v>45658</v>
      </c>
      <c r="S1632" s="395">
        <v>530480</v>
      </c>
    </row>
    <row r="1633" spans="1:19" ht="12.75" customHeight="1" collapsed="1">
      <c r="J1633" s="413">
        <f>SUM(J1622:J1632)</f>
        <v>203158883.13</v>
      </c>
    </row>
    <row r="1635" spans="1:19" ht="12.75" customHeight="1">
      <c r="A1635" s="378" t="s">
        <v>2726</v>
      </c>
    </row>
    <row r="1636" spans="1:19" ht="30" hidden="1" outlineLevel="1">
      <c r="B1636" s="384">
        <v>2025</v>
      </c>
      <c r="C1636" s="384">
        <v>8</v>
      </c>
      <c r="D1636" s="367" t="s">
        <v>5</v>
      </c>
      <c r="E1636" s="367" t="s">
        <v>6</v>
      </c>
      <c r="F1636" s="389" t="s">
        <v>2727</v>
      </c>
      <c r="G1636" s="385">
        <v>45694</v>
      </c>
      <c r="H1636" s="367" t="s">
        <v>12</v>
      </c>
      <c r="I1636" s="368" t="str">
        <f>VLOOKUP(H1636,'Source Codes'!A$2:B$115,2,FALSE)</f>
        <v>AR Direct Cash Journal</v>
      </c>
      <c r="J1636" s="412">
        <v>3706071.16</v>
      </c>
      <c r="K1636" s="385">
        <v>45698</v>
      </c>
      <c r="L1636" s="387" t="s">
        <v>2731</v>
      </c>
      <c r="M1636" s="390">
        <v>45698.751736111109</v>
      </c>
      <c r="N1636" s="367" t="s">
        <v>356</v>
      </c>
      <c r="O1636" s="368" t="s">
        <v>370</v>
      </c>
      <c r="P1636" s="367" t="str">
        <f>IF(J1636&gt;0,"Revenue",IF(J1636&lt;0,"Expense"))</f>
        <v>Revenue</v>
      </c>
      <c r="Q1636" s="366" t="s">
        <v>2264</v>
      </c>
      <c r="R1636" s="393" t="s">
        <v>2265</v>
      </c>
      <c r="S1636" s="395">
        <v>779040</v>
      </c>
    </row>
    <row r="1637" spans="1:19" ht="30" hidden="1" outlineLevel="1">
      <c r="B1637" s="384">
        <v>2025</v>
      </c>
      <c r="C1637" s="384">
        <v>8</v>
      </c>
      <c r="D1637" s="367" t="s">
        <v>5</v>
      </c>
      <c r="E1637" s="367" t="s">
        <v>6</v>
      </c>
      <c r="F1637" s="389" t="s">
        <v>2728</v>
      </c>
      <c r="G1637" s="385">
        <v>45694</v>
      </c>
      <c r="H1637" s="367" t="s">
        <v>11</v>
      </c>
      <c r="I1637" s="368" t="str">
        <f>VLOOKUP(H1637,'Source Codes'!A$2:B$115,2,FALSE)</f>
        <v>AR Payments</v>
      </c>
      <c r="J1637" s="412">
        <v>5028248.91</v>
      </c>
      <c r="K1637" s="385">
        <v>45698</v>
      </c>
      <c r="L1637" s="387" t="s">
        <v>2732</v>
      </c>
      <c r="M1637" s="390">
        <v>45698.751736111109</v>
      </c>
      <c r="N1637" s="367" t="s">
        <v>356</v>
      </c>
      <c r="O1637" s="368" t="s">
        <v>357</v>
      </c>
      <c r="P1637" s="367" t="str">
        <f>IF(J1637&gt;0,"Revenue",IF(J1637&lt;0,"Expense"))</f>
        <v>Revenue</v>
      </c>
      <c r="Q1637" s="366" t="s">
        <v>2157</v>
      </c>
      <c r="R1637" s="393" t="s">
        <v>2157</v>
      </c>
      <c r="S1637" s="395" t="s">
        <v>2231</v>
      </c>
    </row>
    <row r="1638" spans="1:19" ht="60" hidden="1" outlineLevel="1">
      <c r="B1638" s="384">
        <v>2025</v>
      </c>
      <c r="C1638" s="384">
        <v>8</v>
      </c>
      <c r="D1638" s="367" t="s">
        <v>5</v>
      </c>
      <c r="E1638" s="367" t="s">
        <v>6</v>
      </c>
      <c r="F1638" s="389" t="s">
        <v>2729</v>
      </c>
      <c r="G1638" s="385">
        <v>45698</v>
      </c>
      <c r="H1638" s="367" t="s">
        <v>9</v>
      </c>
      <c r="I1638" s="368" t="str">
        <f>VLOOKUP(H1638,'Source Codes'!A$2:B$115,2,FALSE)</f>
        <v>On Line Journal Entries</v>
      </c>
      <c r="J1638" s="412">
        <v>7658914.6200000001</v>
      </c>
      <c r="K1638" s="385">
        <v>45698</v>
      </c>
      <c r="L1638" s="387" t="s">
        <v>2730</v>
      </c>
      <c r="M1638" s="390">
        <v>45698.792187500003</v>
      </c>
      <c r="N1638" s="367" t="s">
        <v>2185</v>
      </c>
      <c r="O1638" s="368" t="s">
        <v>371</v>
      </c>
      <c r="P1638" s="367" t="str">
        <f>IF(J1638&gt;0,"Revenue",IF(J1638&lt;0,"Expense"))</f>
        <v>Revenue</v>
      </c>
      <c r="Q1638" s="366" t="s">
        <v>2346</v>
      </c>
      <c r="R1638" s="393" t="s">
        <v>2733</v>
      </c>
      <c r="S1638" s="395">
        <v>750250</v>
      </c>
    </row>
    <row r="1639" spans="1:19" ht="12.75" customHeight="1" collapsed="1">
      <c r="J1639" s="413">
        <f>SUM(J1636:J1638)</f>
        <v>16393234.690000001</v>
      </c>
    </row>
    <row r="1641" spans="1:19" ht="12.75" customHeight="1">
      <c r="A1641" s="378" t="s">
        <v>2734</v>
      </c>
    </row>
    <row r="1642" spans="1:19" ht="90" hidden="1" outlineLevel="1">
      <c r="B1642" s="384">
        <v>2025</v>
      </c>
      <c r="C1642" s="384">
        <v>8</v>
      </c>
      <c r="D1642" s="367" t="s">
        <v>5</v>
      </c>
      <c r="E1642" s="367" t="s">
        <v>6</v>
      </c>
      <c r="F1642" s="389" t="s">
        <v>2735</v>
      </c>
      <c r="G1642" s="385">
        <v>45698</v>
      </c>
      <c r="H1642" s="367" t="s">
        <v>14</v>
      </c>
      <c r="I1642" s="368" t="str">
        <f>VLOOKUP(H1642,'Source Codes'!A$2:B$115,2,FALSE)</f>
        <v>AP Warrant Issuance</v>
      </c>
      <c r="J1642" s="412">
        <v>-76703970.159999996</v>
      </c>
      <c r="K1642" s="385">
        <v>45699</v>
      </c>
      <c r="L1642" s="387" t="s">
        <v>2750</v>
      </c>
      <c r="M1642" s="390">
        <v>45699.273206018515</v>
      </c>
      <c r="N1642" s="367" t="s">
        <v>377</v>
      </c>
      <c r="O1642" s="368" t="s">
        <v>364</v>
      </c>
      <c r="P1642" s="367" t="str">
        <f t="shared" ref="P1642:P1652" si="12">IF(J1642&gt;0,"Revenue",IF(J1642&lt;0,"Expense"))</f>
        <v>Expense</v>
      </c>
      <c r="Q1642" s="366" t="s">
        <v>2748</v>
      </c>
      <c r="R1642" s="393" t="s">
        <v>2749</v>
      </c>
      <c r="S1642" s="395">
        <v>530440</v>
      </c>
    </row>
    <row r="1643" spans="1:19" ht="45" hidden="1" outlineLevel="1">
      <c r="B1643" s="384">
        <v>2025</v>
      </c>
      <c r="C1643" s="384">
        <v>8</v>
      </c>
      <c r="D1643" s="367" t="s">
        <v>5</v>
      </c>
      <c r="E1643" s="367" t="s">
        <v>6</v>
      </c>
      <c r="F1643" s="389" t="s">
        <v>2736</v>
      </c>
      <c r="G1643" s="385">
        <v>45698</v>
      </c>
      <c r="H1643" s="367" t="s">
        <v>14</v>
      </c>
      <c r="I1643" s="368" t="str">
        <f>VLOOKUP(H1643,'Source Codes'!A$2:B$115,2,FALSE)</f>
        <v>AP Warrant Issuance</v>
      </c>
      <c r="J1643" s="412">
        <v>-3120296.82</v>
      </c>
      <c r="K1643" s="385">
        <v>45699</v>
      </c>
      <c r="L1643" s="387" t="s">
        <v>2751</v>
      </c>
      <c r="M1643" s="390">
        <v>45699.273206018515</v>
      </c>
      <c r="N1643" s="367" t="s">
        <v>356</v>
      </c>
      <c r="O1643" s="368" t="s">
        <v>368</v>
      </c>
      <c r="P1643" s="367" t="str">
        <f t="shared" si="12"/>
        <v>Expense</v>
      </c>
      <c r="Q1643" s="366" t="s">
        <v>2154</v>
      </c>
      <c r="R1643" s="393" t="s">
        <v>2154</v>
      </c>
      <c r="S1643" s="395">
        <v>530280</v>
      </c>
    </row>
    <row r="1644" spans="1:19" ht="45" hidden="1" outlineLevel="1">
      <c r="B1644" s="384">
        <v>2025</v>
      </c>
      <c r="C1644" s="384">
        <v>8</v>
      </c>
      <c r="D1644" s="367" t="s">
        <v>5</v>
      </c>
      <c r="E1644" s="367" t="s">
        <v>6</v>
      </c>
      <c r="F1644" s="389" t="s">
        <v>2737</v>
      </c>
      <c r="G1644" s="385">
        <v>45700</v>
      </c>
      <c r="H1644" s="367" t="s">
        <v>14</v>
      </c>
      <c r="I1644" s="368" t="str">
        <f>VLOOKUP(H1644,'Source Codes'!A$2:B$115,2,FALSE)</f>
        <v>AP Warrant Issuance</v>
      </c>
      <c r="J1644" s="412">
        <v>-1782528.34</v>
      </c>
      <c r="K1644" s="385">
        <v>45699</v>
      </c>
      <c r="L1644" s="387" t="s">
        <v>2752</v>
      </c>
      <c r="M1644" s="390">
        <v>45699.273206018515</v>
      </c>
      <c r="N1644" s="367" t="s">
        <v>356</v>
      </c>
      <c r="O1644" s="368" t="s">
        <v>368</v>
      </c>
      <c r="P1644" s="367" t="str">
        <f t="shared" si="12"/>
        <v>Expense</v>
      </c>
      <c r="Q1644" s="366" t="s">
        <v>2154</v>
      </c>
      <c r="R1644" s="393" t="s">
        <v>2154</v>
      </c>
      <c r="S1644" s="395">
        <v>530280</v>
      </c>
    </row>
    <row r="1645" spans="1:19" ht="30" hidden="1" outlineLevel="1">
      <c r="B1645" s="384">
        <v>2025</v>
      </c>
      <c r="C1645" s="384">
        <v>8</v>
      </c>
      <c r="D1645" s="367" t="s">
        <v>5</v>
      </c>
      <c r="E1645" s="367" t="s">
        <v>6</v>
      </c>
      <c r="F1645" s="389" t="s">
        <v>2738</v>
      </c>
      <c r="G1645" s="385">
        <v>45701</v>
      </c>
      <c r="H1645" s="367" t="s">
        <v>14</v>
      </c>
      <c r="I1645" s="368" t="str">
        <f>VLOOKUP(H1645,'Source Codes'!A$2:B$115,2,FALSE)</f>
        <v>AP Warrant Issuance</v>
      </c>
      <c r="J1645" s="412">
        <v>-1653024.59</v>
      </c>
      <c r="K1645" s="385">
        <v>45699</v>
      </c>
      <c r="L1645" s="387" t="s">
        <v>2753</v>
      </c>
      <c r="M1645" s="390">
        <v>45699.795115740744</v>
      </c>
      <c r="N1645" s="367" t="s">
        <v>356</v>
      </c>
      <c r="O1645" s="368" t="s">
        <v>368</v>
      </c>
      <c r="P1645" s="367" t="str">
        <f t="shared" si="12"/>
        <v>Expense</v>
      </c>
      <c r="Q1645" s="366" t="s">
        <v>2154</v>
      </c>
      <c r="R1645" s="393" t="s">
        <v>2154</v>
      </c>
      <c r="S1645" s="395" t="s">
        <v>203</v>
      </c>
    </row>
    <row r="1646" spans="1:19" ht="30" hidden="1" outlineLevel="1">
      <c r="B1646" s="384">
        <v>2025</v>
      </c>
      <c r="C1646" s="384">
        <v>8</v>
      </c>
      <c r="D1646" s="367" t="s">
        <v>5</v>
      </c>
      <c r="E1646" s="367" t="s">
        <v>6</v>
      </c>
      <c r="F1646" s="389" t="s">
        <v>2739</v>
      </c>
      <c r="G1646" s="385">
        <v>45700</v>
      </c>
      <c r="H1646" s="367" t="s">
        <v>14</v>
      </c>
      <c r="I1646" s="368" t="str">
        <f>VLOOKUP(H1646,'Source Codes'!A$2:B$115,2,FALSE)</f>
        <v>AP Warrant Issuance</v>
      </c>
      <c r="J1646" s="412">
        <v>-1377000</v>
      </c>
      <c r="K1646" s="385">
        <v>45699</v>
      </c>
      <c r="L1646" s="387" t="s">
        <v>2755</v>
      </c>
      <c r="M1646" s="390">
        <v>45699.273206018515</v>
      </c>
      <c r="N1646" s="367" t="s">
        <v>356</v>
      </c>
      <c r="O1646" s="368" t="s">
        <v>504</v>
      </c>
      <c r="P1646" s="367" t="str">
        <f t="shared" si="12"/>
        <v>Expense</v>
      </c>
      <c r="Q1646" s="366" t="s">
        <v>2754</v>
      </c>
      <c r="R1646" s="393" t="s">
        <v>2659</v>
      </c>
      <c r="S1646" s="395">
        <v>532690</v>
      </c>
    </row>
    <row r="1647" spans="1:19" ht="30" hidden="1" outlineLevel="1">
      <c r="B1647" s="384">
        <v>2025</v>
      </c>
      <c r="C1647" s="384">
        <v>8</v>
      </c>
      <c r="D1647" s="367" t="s">
        <v>5</v>
      </c>
      <c r="E1647" s="367" t="s">
        <v>6</v>
      </c>
      <c r="F1647" s="389" t="s">
        <v>2740</v>
      </c>
      <c r="G1647" s="385">
        <v>45693</v>
      </c>
      <c r="H1647" s="367" t="s">
        <v>12</v>
      </c>
      <c r="I1647" s="368" t="str">
        <f>VLOOKUP(H1647,'Source Codes'!A$2:B$115,2,FALSE)</f>
        <v>AR Direct Cash Journal</v>
      </c>
      <c r="J1647" s="412">
        <v>1471839.47</v>
      </c>
      <c r="K1647" s="385">
        <v>45699</v>
      </c>
      <c r="L1647" s="387" t="s">
        <v>2758</v>
      </c>
      <c r="M1647" s="390">
        <v>45699.751782407409</v>
      </c>
      <c r="N1647" s="367" t="s">
        <v>361</v>
      </c>
      <c r="O1647" s="368" t="s">
        <v>385</v>
      </c>
      <c r="P1647" s="367" t="str">
        <f t="shared" si="12"/>
        <v>Revenue</v>
      </c>
      <c r="Q1647" s="366" t="s">
        <v>2757</v>
      </c>
      <c r="R1647" s="393" t="s">
        <v>2757</v>
      </c>
      <c r="S1647" s="395" t="s">
        <v>2756</v>
      </c>
    </row>
    <row r="1648" spans="1:19" ht="30" hidden="1" outlineLevel="1">
      <c r="B1648" s="384">
        <v>2025</v>
      </c>
      <c r="C1648" s="384">
        <v>8</v>
      </c>
      <c r="D1648" s="367" t="s">
        <v>5</v>
      </c>
      <c r="E1648" s="367" t="s">
        <v>6</v>
      </c>
      <c r="F1648" s="389" t="s">
        <v>2741</v>
      </c>
      <c r="G1648" s="385">
        <v>45698</v>
      </c>
      <c r="H1648" s="367" t="s">
        <v>9</v>
      </c>
      <c r="I1648" s="368" t="str">
        <f>VLOOKUP(H1648,'Source Codes'!A$2:B$115,2,FALSE)</f>
        <v>On Line Journal Entries</v>
      </c>
      <c r="J1648" s="412">
        <v>4373302</v>
      </c>
      <c r="K1648" s="385">
        <v>45699</v>
      </c>
      <c r="L1648" s="387" t="s">
        <v>2746</v>
      </c>
      <c r="M1648" s="390">
        <v>45699.870324074072</v>
      </c>
      <c r="N1648" s="367" t="s">
        <v>356</v>
      </c>
      <c r="O1648" s="368" t="s">
        <v>369</v>
      </c>
      <c r="P1648" s="367" t="str">
        <f t="shared" si="12"/>
        <v>Revenue</v>
      </c>
      <c r="Q1648" s="366" t="s">
        <v>2268</v>
      </c>
      <c r="R1648" s="393">
        <v>45689</v>
      </c>
      <c r="S1648" s="395" t="s">
        <v>2534</v>
      </c>
    </row>
    <row r="1649" spans="1:19" ht="15" hidden="1" outlineLevel="1">
      <c r="B1649" s="384">
        <v>2025</v>
      </c>
      <c r="C1649" s="384">
        <v>8</v>
      </c>
      <c r="D1649" s="367" t="s">
        <v>5</v>
      </c>
      <c r="E1649" s="367" t="s">
        <v>6</v>
      </c>
      <c r="F1649" s="389" t="s">
        <v>2742</v>
      </c>
      <c r="G1649" s="385">
        <v>45691</v>
      </c>
      <c r="H1649" s="367" t="s">
        <v>337</v>
      </c>
      <c r="I1649" s="368" t="str">
        <f>VLOOKUP(H1649,'Source Codes'!A$2:B$115,2,FALSE)</f>
        <v>Facilities Mngmnt Intfc Jrnls</v>
      </c>
      <c r="J1649" s="412">
        <v>-2388276.35</v>
      </c>
      <c r="K1649" s="385">
        <v>45699</v>
      </c>
      <c r="L1649" s="387" t="s">
        <v>2747</v>
      </c>
      <c r="M1649" s="390">
        <v>45699.870416666665</v>
      </c>
      <c r="N1649" s="367" t="s">
        <v>356</v>
      </c>
      <c r="O1649" s="368" t="s">
        <v>367</v>
      </c>
      <c r="P1649" s="367" t="str">
        <f t="shared" si="12"/>
        <v>Expense</v>
      </c>
      <c r="Q1649" s="366" t="s">
        <v>2337</v>
      </c>
      <c r="R1649" s="393" t="s">
        <v>2759</v>
      </c>
      <c r="S1649" s="395">
        <v>522385</v>
      </c>
    </row>
    <row r="1650" spans="1:19" ht="15" hidden="1" outlineLevel="1">
      <c r="B1650" s="384">
        <v>2025</v>
      </c>
      <c r="C1650" s="384">
        <v>8</v>
      </c>
      <c r="D1650" s="367" t="s">
        <v>5</v>
      </c>
      <c r="E1650" s="367" t="s">
        <v>6</v>
      </c>
      <c r="F1650" s="389" t="s">
        <v>2743</v>
      </c>
      <c r="G1650" s="385">
        <v>45693</v>
      </c>
      <c r="H1650" s="367" t="s">
        <v>7</v>
      </c>
      <c r="I1650" s="368" t="str">
        <f>VLOOKUP(H1650,'Source Codes'!A$2:B$115,2,FALSE)</f>
        <v>HRMS Interface Journals</v>
      </c>
      <c r="J1650" s="412">
        <v>-2529049.1</v>
      </c>
      <c r="K1650" s="385">
        <v>45699</v>
      </c>
      <c r="L1650" s="387" t="s">
        <v>409</v>
      </c>
      <c r="M1650" s="390">
        <v>45699.342106481483</v>
      </c>
      <c r="N1650" s="367" t="s">
        <v>378</v>
      </c>
      <c r="O1650" s="368" t="s">
        <v>379</v>
      </c>
      <c r="P1650" s="367" t="str">
        <f t="shared" si="12"/>
        <v>Expense</v>
      </c>
      <c r="Q1650" s="366" t="s">
        <v>379</v>
      </c>
      <c r="R1650" s="393" t="s">
        <v>2760</v>
      </c>
      <c r="S1650" s="395">
        <v>513120</v>
      </c>
    </row>
    <row r="1651" spans="1:19" ht="15" hidden="1" outlineLevel="1">
      <c r="B1651" s="384">
        <v>2025</v>
      </c>
      <c r="C1651" s="384">
        <v>8</v>
      </c>
      <c r="D1651" s="367" t="s">
        <v>5</v>
      </c>
      <c r="E1651" s="367" t="s">
        <v>6</v>
      </c>
      <c r="F1651" s="389" t="s">
        <v>2744</v>
      </c>
      <c r="G1651" s="385">
        <v>45693</v>
      </c>
      <c r="H1651" s="367" t="s">
        <v>7</v>
      </c>
      <c r="I1651" s="368" t="str">
        <f>VLOOKUP(H1651,'Source Codes'!A$2:B$115,2,FALSE)</f>
        <v>HRMS Interface Journals</v>
      </c>
      <c r="J1651" s="412">
        <v>-11204728.119999999</v>
      </c>
      <c r="K1651" s="385">
        <v>45699</v>
      </c>
      <c r="L1651" s="387" t="s">
        <v>407</v>
      </c>
      <c r="M1651" s="390">
        <v>45699.335821759261</v>
      </c>
      <c r="N1651" s="367" t="s">
        <v>378</v>
      </c>
      <c r="O1651" s="368" t="s">
        <v>379</v>
      </c>
      <c r="P1651" s="367" t="str">
        <f t="shared" si="12"/>
        <v>Expense</v>
      </c>
      <c r="Q1651" s="366" t="s">
        <v>379</v>
      </c>
      <c r="R1651" s="393" t="s">
        <v>2760</v>
      </c>
      <c r="S1651" s="395" t="s">
        <v>203</v>
      </c>
    </row>
    <row r="1652" spans="1:19" ht="15" hidden="1" outlineLevel="1">
      <c r="B1652" s="384">
        <v>2025</v>
      </c>
      <c r="C1652" s="384">
        <v>8</v>
      </c>
      <c r="D1652" s="367" t="s">
        <v>5</v>
      </c>
      <c r="E1652" s="367" t="s">
        <v>6</v>
      </c>
      <c r="F1652" s="389" t="s">
        <v>2745</v>
      </c>
      <c r="G1652" s="385">
        <v>45693</v>
      </c>
      <c r="H1652" s="367" t="s">
        <v>7</v>
      </c>
      <c r="I1652" s="368" t="str">
        <f>VLOOKUP(H1652,'Source Codes'!A$2:B$115,2,FALSE)</f>
        <v>HRMS Interface Journals</v>
      </c>
      <c r="J1652" s="412">
        <v>-70900553.489999995</v>
      </c>
      <c r="K1652" s="385">
        <v>45699</v>
      </c>
      <c r="L1652" s="387" t="s">
        <v>406</v>
      </c>
      <c r="M1652" s="390">
        <v>45699.339178240742</v>
      </c>
      <c r="N1652" s="367" t="s">
        <v>378</v>
      </c>
      <c r="O1652" s="368" t="s">
        <v>371</v>
      </c>
      <c r="P1652" s="367" t="str">
        <f t="shared" si="12"/>
        <v>Expense</v>
      </c>
      <c r="Q1652" s="366" t="s">
        <v>379</v>
      </c>
      <c r="R1652" s="393" t="s">
        <v>2760</v>
      </c>
      <c r="S1652" s="395" t="s">
        <v>203</v>
      </c>
    </row>
    <row r="1653" spans="1:19" ht="12.75" customHeight="1" collapsed="1">
      <c r="J1653" s="413">
        <f>SUM(J1642:J1652)</f>
        <v>-165814285.5</v>
      </c>
    </row>
    <row r="1655" spans="1:19" ht="15">
      <c r="A1655" s="378" t="s">
        <v>2761</v>
      </c>
    </row>
    <row r="1656" spans="1:19" ht="30" hidden="1" outlineLevel="1">
      <c r="B1656" s="384">
        <v>2025</v>
      </c>
      <c r="C1656" s="384">
        <v>8</v>
      </c>
      <c r="D1656" s="367" t="s">
        <v>5</v>
      </c>
      <c r="E1656" s="367" t="s">
        <v>6</v>
      </c>
      <c r="F1656" s="389" t="s">
        <v>2762</v>
      </c>
      <c r="G1656" s="385">
        <v>45701</v>
      </c>
      <c r="H1656" s="367" t="s">
        <v>11</v>
      </c>
      <c r="I1656" s="368" t="str">
        <f>VLOOKUP(H1656,'Source Codes'!A$2:B$115,2,FALSE)</f>
        <v>AR Payments</v>
      </c>
      <c r="J1656" s="412">
        <v>1049689.8600000001</v>
      </c>
      <c r="K1656" s="385">
        <v>45701</v>
      </c>
      <c r="L1656" s="387" t="s">
        <v>2763</v>
      </c>
      <c r="M1656" s="390">
        <v>45701.75199074074</v>
      </c>
      <c r="N1656" s="367" t="s">
        <v>356</v>
      </c>
      <c r="O1656" s="368" t="s">
        <v>357</v>
      </c>
      <c r="P1656" s="367" t="str">
        <f>IF(J1656&gt;0,"Revenue",IF(J1656&lt;0,"Expense"))</f>
        <v>Revenue</v>
      </c>
      <c r="Q1656" s="366" t="s">
        <v>2157</v>
      </c>
      <c r="R1656" s="393" t="s">
        <v>2157</v>
      </c>
      <c r="S1656" s="395" t="s">
        <v>2231</v>
      </c>
    </row>
    <row r="1657" spans="1:19" ht="12.75" customHeight="1" collapsed="1">
      <c r="J1657" s="413">
        <f>SUM(J1656)</f>
        <v>1049689.8600000001</v>
      </c>
    </row>
    <row r="1659" spans="1:19" ht="12.75" customHeight="1">
      <c r="A1659" s="378" t="s">
        <v>2764</v>
      </c>
    </row>
    <row r="1660" spans="1:19" ht="45" hidden="1" outlineLevel="1">
      <c r="B1660" s="384">
        <v>2025</v>
      </c>
      <c r="C1660" s="384">
        <v>8</v>
      </c>
      <c r="D1660" s="367" t="s">
        <v>5</v>
      </c>
      <c r="E1660" s="367" t="s">
        <v>6</v>
      </c>
      <c r="F1660" s="389" t="s">
        <v>2765</v>
      </c>
      <c r="G1660" s="385">
        <v>45701</v>
      </c>
      <c r="H1660" s="367" t="s">
        <v>12</v>
      </c>
      <c r="I1660" s="368" t="str">
        <f>VLOOKUP(H1660,'Source Codes'!A$2:B$115,2,FALSE)</f>
        <v>AR Direct Cash Journal</v>
      </c>
      <c r="J1660" s="412">
        <v>8111725.5599999996</v>
      </c>
      <c r="K1660" s="385">
        <v>45702</v>
      </c>
      <c r="L1660" s="387" t="s">
        <v>2767</v>
      </c>
      <c r="M1660" s="390">
        <v>45702.751736111109</v>
      </c>
      <c r="N1660" s="367" t="s">
        <v>356</v>
      </c>
      <c r="O1660" s="368" t="s">
        <v>370</v>
      </c>
      <c r="P1660" s="367" t="str">
        <f>IF(J1660&gt;0,"Revenue",IF(J1660&lt;0,"Expense"))</f>
        <v>Revenue</v>
      </c>
      <c r="Q1660" s="366" t="s">
        <v>2264</v>
      </c>
      <c r="R1660" s="393" t="s">
        <v>2265</v>
      </c>
      <c r="S1660" s="395" t="s">
        <v>203</v>
      </c>
    </row>
    <row r="1661" spans="1:19" ht="30" hidden="1" outlineLevel="1">
      <c r="B1661" s="384">
        <v>2025</v>
      </c>
      <c r="C1661" s="384">
        <v>8</v>
      </c>
      <c r="D1661" s="367" t="s">
        <v>5</v>
      </c>
      <c r="E1661" s="367" t="s">
        <v>6</v>
      </c>
      <c r="F1661" s="389" t="s">
        <v>2766</v>
      </c>
      <c r="G1661" s="385">
        <v>45692</v>
      </c>
      <c r="H1661" s="367" t="s">
        <v>12</v>
      </c>
      <c r="I1661" s="368" t="str">
        <f>VLOOKUP(H1661,'Source Codes'!A$2:B$115,2,FALSE)</f>
        <v>AR Direct Cash Journal</v>
      </c>
      <c r="J1661" s="412">
        <v>16792393.57</v>
      </c>
      <c r="K1661" s="385">
        <v>45702</v>
      </c>
      <c r="L1661" s="387" t="s">
        <v>2768</v>
      </c>
      <c r="M1661" s="390">
        <v>45702.751736111109</v>
      </c>
      <c r="N1661" s="367" t="s">
        <v>356</v>
      </c>
      <c r="O1661" s="368" t="s">
        <v>368</v>
      </c>
      <c r="P1661" s="367" t="str">
        <f>IF(J1661&gt;0,"Revenue",IF(J1661&lt;0,"Expense"))</f>
        <v>Revenue</v>
      </c>
      <c r="Q1661" s="366" t="s">
        <v>2177</v>
      </c>
      <c r="R1661" s="393" t="s">
        <v>2214</v>
      </c>
      <c r="S1661" s="395" t="s">
        <v>203</v>
      </c>
    </row>
    <row r="1662" spans="1:19" ht="12.75" customHeight="1" collapsed="1">
      <c r="J1662" s="413">
        <f>SUM(J1660:J1661)</f>
        <v>24904119.129999999</v>
      </c>
    </row>
    <row r="1664" spans="1:19" ht="12.75" customHeight="1">
      <c r="A1664" s="378" t="s">
        <v>2769</v>
      </c>
    </row>
    <row r="1665" spans="1:19" ht="45" hidden="1" outlineLevel="1">
      <c r="B1665" s="384">
        <v>2025</v>
      </c>
      <c r="C1665" s="384">
        <v>8</v>
      </c>
      <c r="D1665" s="367" t="s">
        <v>5</v>
      </c>
      <c r="E1665" s="367" t="s">
        <v>6</v>
      </c>
      <c r="F1665" s="389" t="s">
        <v>2770</v>
      </c>
      <c r="G1665" s="385">
        <v>45706</v>
      </c>
      <c r="H1665" s="367" t="s">
        <v>14</v>
      </c>
      <c r="I1665" s="368" t="str">
        <f>VLOOKUP(H1665,'Source Codes'!A$2:B$115,2,FALSE)</f>
        <v>AP Warrant Issuance</v>
      </c>
      <c r="J1665" s="412">
        <v>-1612713.87</v>
      </c>
      <c r="K1665" s="385">
        <v>45706</v>
      </c>
      <c r="L1665" s="387" t="s">
        <v>2786</v>
      </c>
      <c r="M1665" s="390">
        <v>45706.793541666666</v>
      </c>
      <c r="N1665" s="367" t="s">
        <v>356</v>
      </c>
      <c r="O1665" s="368" t="s">
        <v>368</v>
      </c>
      <c r="P1665" s="367" t="str">
        <f t="shared" ref="P1665:P1675" si="13">IF(J1665&gt;0,"Revenue",IF(J1665&lt;0,"Expense"))</f>
        <v>Expense</v>
      </c>
      <c r="Q1665" s="366" t="s">
        <v>2154</v>
      </c>
      <c r="R1665" s="393" t="s">
        <v>2154</v>
      </c>
      <c r="S1665" s="395">
        <v>530280</v>
      </c>
    </row>
    <row r="1666" spans="1:19" ht="30" hidden="1" outlineLevel="1">
      <c r="B1666" s="384">
        <v>2025</v>
      </c>
      <c r="C1666" s="384">
        <v>8</v>
      </c>
      <c r="D1666" s="367" t="s">
        <v>5</v>
      </c>
      <c r="E1666" s="367" t="s">
        <v>6</v>
      </c>
      <c r="F1666" s="389" t="s">
        <v>2771</v>
      </c>
      <c r="G1666" s="385">
        <v>45702</v>
      </c>
      <c r="H1666" s="367" t="s">
        <v>12</v>
      </c>
      <c r="I1666" s="368" t="str">
        <f>VLOOKUP(H1666,'Source Codes'!A$2:B$115,2,FALSE)</f>
        <v>AR Direct Cash Journal</v>
      </c>
      <c r="J1666" s="412">
        <v>1717189.28</v>
      </c>
      <c r="K1666" s="385">
        <v>45706</v>
      </c>
      <c r="L1666" s="387" t="s">
        <v>2788</v>
      </c>
      <c r="M1666" s="390">
        <v>45706.751770833333</v>
      </c>
      <c r="N1666" s="367" t="s">
        <v>356</v>
      </c>
      <c r="O1666" s="368" t="s">
        <v>370</v>
      </c>
      <c r="P1666" s="367" t="str">
        <f t="shared" si="13"/>
        <v>Revenue</v>
      </c>
      <c r="Q1666" s="366" t="s">
        <v>2264</v>
      </c>
      <c r="R1666" s="393" t="s">
        <v>2265</v>
      </c>
      <c r="S1666" s="395" t="s">
        <v>2787</v>
      </c>
    </row>
    <row r="1667" spans="1:19" ht="45" hidden="1" outlineLevel="1">
      <c r="B1667" s="384">
        <v>2025</v>
      </c>
      <c r="C1667" s="384">
        <v>8</v>
      </c>
      <c r="D1667" s="367" t="s">
        <v>5</v>
      </c>
      <c r="E1667" s="367" t="s">
        <v>6</v>
      </c>
      <c r="F1667" s="389" t="s">
        <v>2772</v>
      </c>
      <c r="G1667" s="385">
        <v>45691</v>
      </c>
      <c r="H1667" s="367" t="s">
        <v>9</v>
      </c>
      <c r="I1667" s="368" t="str">
        <f>VLOOKUP(H1667,'Source Codes'!A$2:B$115,2,FALSE)</f>
        <v>On Line Journal Entries</v>
      </c>
      <c r="J1667" s="412">
        <v>5892592</v>
      </c>
      <c r="K1667" s="385">
        <v>45706</v>
      </c>
      <c r="L1667" s="387" t="s">
        <v>352</v>
      </c>
      <c r="M1667" s="390">
        <v>45706.870694444442</v>
      </c>
      <c r="N1667" s="367" t="s">
        <v>356</v>
      </c>
      <c r="O1667" s="368" t="s">
        <v>364</v>
      </c>
      <c r="P1667" s="367" t="str">
        <f t="shared" si="13"/>
        <v>Revenue</v>
      </c>
      <c r="Q1667" s="366" t="s">
        <v>2232</v>
      </c>
      <c r="R1667" s="393" t="s">
        <v>2232</v>
      </c>
      <c r="S1667" s="395" t="s">
        <v>2789</v>
      </c>
    </row>
    <row r="1668" spans="1:19" ht="30" hidden="1" outlineLevel="1">
      <c r="B1668" s="384">
        <v>2025</v>
      </c>
      <c r="C1668" s="384">
        <v>8</v>
      </c>
      <c r="D1668" s="367" t="s">
        <v>5</v>
      </c>
      <c r="E1668" s="367" t="s">
        <v>6</v>
      </c>
      <c r="F1668" s="389" t="s">
        <v>2773</v>
      </c>
      <c r="G1668" s="385">
        <v>45691</v>
      </c>
      <c r="H1668" s="367" t="s">
        <v>9</v>
      </c>
      <c r="I1668" s="368" t="str">
        <f>VLOOKUP(H1668,'Source Codes'!A$2:B$115,2,FALSE)</f>
        <v>On Line Journal Entries</v>
      </c>
      <c r="J1668" s="412">
        <v>5366903</v>
      </c>
      <c r="K1668" s="385">
        <v>45706</v>
      </c>
      <c r="L1668" s="387" t="s">
        <v>334</v>
      </c>
      <c r="M1668" s="390">
        <v>45706.870694444442</v>
      </c>
      <c r="N1668" s="367" t="s">
        <v>356</v>
      </c>
      <c r="O1668" s="368" t="s">
        <v>364</v>
      </c>
      <c r="P1668" s="367" t="str">
        <f t="shared" si="13"/>
        <v>Revenue</v>
      </c>
      <c r="Q1668" s="366" t="s">
        <v>2232</v>
      </c>
      <c r="R1668" s="393" t="s">
        <v>2232</v>
      </c>
      <c r="S1668" s="395">
        <v>750741</v>
      </c>
    </row>
    <row r="1669" spans="1:19" ht="60" hidden="1" outlineLevel="1">
      <c r="B1669" s="384">
        <v>2025</v>
      </c>
      <c r="C1669" s="384">
        <v>8</v>
      </c>
      <c r="D1669" s="367" t="s">
        <v>5</v>
      </c>
      <c r="E1669" s="367" t="s">
        <v>6</v>
      </c>
      <c r="F1669" s="389" t="s">
        <v>2774</v>
      </c>
      <c r="G1669" s="385">
        <v>45691</v>
      </c>
      <c r="H1669" s="367" t="s">
        <v>9</v>
      </c>
      <c r="I1669" s="368" t="str">
        <f>VLOOKUP(H1669,'Source Codes'!A$2:B$115,2,FALSE)</f>
        <v>On Line Journal Entries</v>
      </c>
      <c r="J1669" s="412">
        <v>3886111.04</v>
      </c>
      <c r="K1669" s="385">
        <v>45706</v>
      </c>
      <c r="L1669" s="387" t="s">
        <v>347</v>
      </c>
      <c r="M1669" s="390">
        <v>45706.870694444442</v>
      </c>
      <c r="N1669" s="367" t="s">
        <v>356</v>
      </c>
      <c r="O1669" s="368" t="s">
        <v>364</v>
      </c>
      <c r="P1669" s="367" t="str">
        <f t="shared" si="13"/>
        <v>Revenue</v>
      </c>
      <c r="Q1669" s="366" t="s">
        <v>2232</v>
      </c>
      <c r="R1669" s="393" t="s">
        <v>2232</v>
      </c>
      <c r="S1669" s="395">
        <v>755924</v>
      </c>
    </row>
    <row r="1670" spans="1:19" ht="30" hidden="1" outlineLevel="1">
      <c r="B1670" s="384">
        <v>2025</v>
      </c>
      <c r="C1670" s="384">
        <v>8</v>
      </c>
      <c r="D1670" s="367" t="s">
        <v>5</v>
      </c>
      <c r="E1670" s="367" t="s">
        <v>6</v>
      </c>
      <c r="F1670" s="389" t="s">
        <v>2775</v>
      </c>
      <c r="G1670" s="385">
        <v>45691</v>
      </c>
      <c r="H1670" s="367" t="s">
        <v>9</v>
      </c>
      <c r="I1670" s="368" t="str">
        <f>VLOOKUP(H1670,'Source Codes'!A$2:B$115,2,FALSE)</f>
        <v>On Line Journal Entries</v>
      </c>
      <c r="J1670" s="412">
        <v>1817600</v>
      </c>
      <c r="K1670" s="385">
        <v>45706</v>
      </c>
      <c r="L1670" s="387" t="s">
        <v>2781</v>
      </c>
      <c r="M1670" s="390">
        <v>45706.870694444442</v>
      </c>
      <c r="N1670" s="367" t="s">
        <v>387</v>
      </c>
      <c r="O1670" s="368" t="s">
        <v>510</v>
      </c>
      <c r="P1670" s="367" t="str">
        <f t="shared" si="13"/>
        <v>Revenue</v>
      </c>
      <c r="Q1670" s="366" t="s">
        <v>2790</v>
      </c>
      <c r="R1670" s="393" t="s">
        <v>2791</v>
      </c>
      <c r="S1670" s="395">
        <v>741270</v>
      </c>
    </row>
    <row r="1671" spans="1:19" ht="15" hidden="1" outlineLevel="1">
      <c r="B1671" s="384">
        <v>2025</v>
      </c>
      <c r="C1671" s="384">
        <v>8</v>
      </c>
      <c r="D1671" s="367" t="s">
        <v>5</v>
      </c>
      <c r="E1671" s="367" t="s">
        <v>6</v>
      </c>
      <c r="F1671" s="389" t="s">
        <v>2776</v>
      </c>
      <c r="G1671" s="385">
        <v>45699</v>
      </c>
      <c r="H1671" s="367" t="s">
        <v>9</v>
      </c>
      <c r="I1671" s="368" t="str">
        <f>VLOOKUP(H1671,'Source Codes'!A$2:B$115,2,FALSE)</f>
        <v>On Line Journal Entries</v>
      </c>
      <c r="J1671" s="412">
        <v>-1542083</v>
      </c>
      <c r="K1671" s="385">
        <v>45706</v>
      </c>
      <c r="L1671" s="387" t="s">
        <v>2782</v>
      </c>
      <c r="M1671" s="390">
        <v>45706.870694444442</v>
      </c>
      <c r="N1671" s="367" t="s">
        <v>356</v>
      </c>
      <c r="O1671" s="368" t="s">
        <v>368</v>
      </c>
      <c r="P1671" s="367" t="str">
        <f t="shared" si="13"/>
        <v>Expense</v>
      </c>
      <c r="Q1671" s="366" t="s">
        <v>2219</v>
      </c>
      <c r="R1671" s="393" t="s">
        <v>2792</v>
      </c>
      <c r="S1671" s="395">
        <v>530280</v>
      </c>
    </row>
    <row r="1672" spans="1:19" ht="15" hidden="1" outlineLevel="1">
      <c r="B1672" s="384">
        <v>2025</v>
      </c>
      <c r="C1672" s="384">
        <v>8</v>
      </c>
      <c r="D1672" s="367" t="s">
        <v>5</v>
      </c>
      <c r="E1672" s="367" t="s">
        <v>6</v>
      </c>
      <c r="F1672" s="389" t="s">
        <v>2777</v>
      </c>
      <c r="G1672" s="385">
        <v>45702</v>
      </c>
      <c r="H1672" s="367" t="s">
        <v>8</v>
      </c>
      <c r="I1672" s="368" t="str">
        <f>VLOOKUP(H1672,'Source Codes'!A$2:B$115,2,FALSE)</f>
        <v>Prch,Cntrl Mail,Flt,Prntg,Sply</v>
      </c>
      <c r="J1672" s="412">
        <v>-2435740.54</v>
      </c>
      <c r="K1672" s="385">
        <v>45706</v>
      </c>
      <c r="L1672" s="387" t="s">
        <v>2783</v>
      </c>
      <c r="M1672" s="390">
        <v>45706.549432870372</v>
      </c>
      <c r="N1672" s="367" t="s">
        <v>356</v>
      </c>
      <c r="O1672" s="368" t="s">
        <v>382</v>
      </c>
      <c r="P1672" s="367" t="str">
        <f t="shared" si="13"/>
        <v>Expense</v>
      </c>
      <c r="Q1672" s="366" t="s">
        <v>2328</v>
      </c>
      <c r="R1672" s="393" t="s">
        <v>2793</v>
      </c>
      <c r="S1672" s="395" t="s">
        <v>2535</v>
      </c>
    </row>
    <row r="1673" spans="1:19" ht="45" hidden="1" outlineLevel="1">
      <c r="B1673" s="384">
        <v>2025</v>
      </c>
      <c r="C1673" s="384">
        <v>8</v>
      </c>
      <c r="D1673" s="367" t="s">
        <v>5</v>
      </c>
      <c r="E1673" s="367" t="s">
        <v>6</v>
      </c>
      <c r="F1673" s="389" t="s">
        <v>2778</v>
      </c>
      <c r="G1673" s="385">
        <v>45691</v>
      </c>
      <c r="H1673" s="367" t="s">
        <v>9</v>
      </c>
      <c r="I1673" s="368" t="str">
        <f>VLOOKUP(H1673,'Source Codes'!A$2:B$115,2,FALSE)</f>
        <v>On Line Journal Entries</v>
      </c>
      <c r="J1673" s="412">
        <v>-2513210</v>
      </c>
      <c r="K1673" s="385">
        <v>45706</v>
      </c>
      <c r="L1673" s="387" t="s">
        <v>965</v>
      </c>
      <c r="M1673" s="390">
        <v>45706.870694444442</v>
      </c>
      <c r="N1673" s="367" t="s">
        <v>356</v>
      </c>
      <c r="O1673" s="368" t="s">
        <v>364</v>
      </c>
      <c r="P1673" s="367" t="str">
        <f t="shared" si="13"/>
        <v>Expense</v>
      </c>
      <c r="Q1673" s="366" t="s">
        <v>2232</v>
      </c>
      <c r="R1673" s="393" t="s">
        <v>2232</v>
      </c>
      <c r="S1673" s="395">
        <v>755919</v>
      </c>
    </row>
    <row r="1674" spans="1:19" ht="30" hidden="1" outlineLevel="1">
      <c r="B1674" s="384">
        <v>2025</v>
      </c>
      <c r="C1674" s="384">
        <v>8</v>
      </c>
      <c r="D1674" s="367" t="s">
        <v>5</v>
      </c>
      <c r="E1674" s="367" t="s">
        <v>6</v>
      </c>
      <c r="F1674" s="389" t="s">
        <v>2779</v>
      </c>
      <c r="G1674" s="385">
        <v>45699</v>
      </c>
      <c r="H1674" s="367" t="s">
        <v>337</v>
      </c>
      <c r="I1674" s="368" t="str">
        <f>VLOOKUP(H1674,'Source Codes'!A$2:B$115,2,FALSE)</f>
        <v>Facilities Mngmnt Intfc Jrnls</v>
      </c>
      <c r="J1674" s="412">
        <v>-5882669.4299999997</v>
      </c>
      <c r="K1674" s="385">
        <v>45706</v>
      </c>
      <c r="L1674" s="387" t="s">
        <v>2784</v>
      </c>
      <c r="M1674" s="390">
        <v>45706.870787037034</v>
      </c>
      <c r="N1674" s="367" t="s">
        <v>356</v>
      </c>
      <c r="O1674" s="368" t="s">
        <v>367</v>
      </c>
      <c r="P1674" s="367" t="str">
        <f t="shared" si="13"/>
        <v>Expense</v>
      </c>
      <c r="Q1674" s="366" t="s">
        <v>2240</v>
      </c>
      <c r="R1674" s="393" t="s">
        <v>2795</v>
      </c>
      <c r="S1674" s="395" t="s">
        <v>2794</v>
      </c>
    </row>
    <row r="1675" spans="1:19" ht="45" hidden="1" outlineLevel="1">
      <c r="B1675" s="384">
        <v>2025</v>
      </c>
      <c r="C1675" s="384">
        <v>8</v>
      </c>
      <c r="D1675" s="367" t="s">
        <v>5</v>
      </c>
      <c r="E1675" s="367" t="s">
        <v>6</v>
      </c>
      <c r="F1675" s="389" t="s">
        <v>2780</v>
      </c>
      <c r="G1675" s="385">
        <v>45699</v>
      </c>
      <c r="H1675" s="367" t="s">
        <v>9</v>
      </c>
      <c r="I1675" s="368" t="str">
        <f>VLOOKUP(H1675,'Source Codes'!A$2:B$115,2,FALSE)</f>
        <v>On Line Journal Entries</v>
      </c>
      <c r="J1675" s="412">
        <v>-6660875</v>
      </c>
      <c r="K1675" s="385">
        <v>45706</v>
      </c>
      <c r="L1675" s="387" t="s">
        <v>2785</v>
      </c>
      <c r="M1675" s="390">
        <v>45706.870694444442</v>
      </c>
      <c r="N1675" s="367" t="s">
        <v>356</v>
      </c>
      <c r="O1675" s="368" t="s">
        <v>368</v>
      </c>
      <c r="P1675" s="367" t="str">
        <f t="shared" si="13"/>
        <v>Expense</v>
      </c>
      <c r="Q1675" s="366" t="s">
        <v>2270</v>
      </c>
      <c r="R1675" s="393" t="s">
        <v>2796</v>
      </c>
      <c r="S1675" s="395">
        <v>530280</v>
      </c>
    </row>
    <row r="1676" spans="1:19" ht="12.75" customHeight="1" collapsed="1">
      <c r="J1676" s="413">
        <f>SUM(J1665:J1675)</f>
        <v>-1966896.5199999996</v>
      </c>
    </row>
    <row r="1678" spans="1:19" ht="12.75" customHeight="1">
      <c r="A1678" s="378" t="s">
        <v>2797</v>
      </c>
    </row>
    <row r="1679" spans="1:19" ht="45" hidden="1" outlineLevel="1">
      <c r="B1679" s="384">
        <v>2025</v>
      </c>
      <c r="C1679" s="384">
        <v>8</v>
      </c>
      <c r="D1679" s="367" t="s">
        <v>5</v>
      </c>
      <c r="E1679" s="367" t="s">
        <v>6</v>
      </c>
      <c r="F1679" s="389" t="s">
        <v>2798</v>
      </c>
      <c r="G1679" s="385">
        <v>45707</v>
      </c>
      <c r="H1679" s="367" t="s">
        <v>14</v>
      </c>
      <c r="I1679" s="368" t="str">
        <f>VLOOKUP(H1679,'Source Codes'!A$2:B$115,2,FALSE)</f>
        <v>AP Warrant Issuance</v>
      </c>
      <c r="J1679" s="412">
        <v>-1952652.5</v>
      </c>
      <c r="K1679" s="385">
        <v>45707</v>
      </c>
      <c r="L1679" s="387" t="s">
        <v>2802</v>
      </c>
      <c r="M1679" s="390">
        <v>45707.794027777774</v>
      </c>
      <c r="N1679" s="367" t="s">
        <v>356</v>
      </c>
      <c r="O1679" s="368" t="s">
        <v>368</v>
      </c>
      <c r="P1679" s="367" t="str">
        <f>IF(J1679&gt;0,"Revenue",IF(J1679&lt;0,"Expense"))</f>
        <v>Expense</v>
      </c>
      <c r="Q1679" s="366" t="s">
        <v>2154</v>
      </c>
      <c r="R1679" s="393" t="s">
        <v>2154</v>
      </c>
      <c r="S1679" s="395">
        <v>530280</v>
      </c>
    </row>
    <row r="1680" spans="1:19" ht="60" hidden="1" outlineLevel="1">
      <c r="B1680" s="384">
        <v>2025</v>
      </c>
      <c r="C1680" s="384">
        <v>8</v>
      </c>
      <c r="D1680" s="367" t="s">
        <v>5</v>
      </c>
      <c r="E1680" s="367" t="s">
        <v>6</v>
      </c>
      <c r="F1680" s="389" t="s">
        <v>2799</v>
      </c>
      <c r="G1680" s="385">
        <v>45706</v>
      </c>
      <c r="H1680" s="367" t="s">
        <v>11</v>
      </c>
      <c r="I1680" s="368" t="str">
        <f>VLOOKUP(H1680,'Source Codes'!A$2:B$115,2,FALSE)</f>
        <v>AR Payments</v>
      </c>
      <c r="J1680" s="412">
        <v>1359875.75</v>
      </c>
      <c r="K1680" s="385">
        <v>45707</v>
      </c>
      <c r="L1680" s="387" t="s">
        <v>2804</v>
      </c>
      <c r="M1680" s="390">
        <v>45707.752071759256</v>
      </c>
      <c r="N1680" s="367" t="s">
        <v>356</v>
      </c>
      <c r="O1680" s="368" t="s">
        <v>357</v>
      </c>
      <c r="P1680" s="367" t="str">
        <f>IF(J1680&gt;0,"Revenue",IF(J1680&lt;0,"Expense"))</f>
        <v>Revenue</v>
      </c>
      <c r="Q1680" s="366" t="s">
        <v>2157</v>
      </c>
      <c r="R1680" s="393" t="s">
        <v>2157</v>
      </c>
      <c r="S1680" s="395" t="s">
        <v>2803</v>
      </c>
    </row>
    <row r="1681" spans="1:19" ht="75" hidden="1" outlineLevel="1">
      <c r="B1681" s="384">
        <v>2025</v>
      </c>
      <c r="C1681" s="384">
        <v>8</v>
      </c>
      <c r="D1681" s="367" t="s">
        <v>5</v>
      </c>
      <c r="E1681" s="367" t="s">
        <v>6</v>
      </c>
      <c r="F1681" s="389" t="s">
        <v>2800</v>
      </c>
      <c r="G1681" s="385">
        <v>45693</v>
      </c>
      <c r="H1681" s="367" t="s">
        <v>9</v>
      </c>
      <c r="I1681" s="368" t="str">
        <f>VLOOKUP(H1681,'Source Codes'!A$2:B$115,2,FALSE)</f>
        <v>On Line Journal Entries</v>
      </c>
      <c r="J1681" s="412">
        <v>1318683.46</v>
      </c>
      <c r="K1681" s="385">
        <v>45707</v>
      </c>
      <c r="L1681" s="387" t="s">
        <v>2801</v>
      </c>
      <c r="M1681" s="390">
        <v>45707.870011574072</v>
      </c>
      <c r="N1681" s="367" t="s">
        <v>2185</v>
      </c>
      <c r="O1681" s="368" t="s">
        <v>364</v>
      </c>
      <c r="P1681" s="367" t="str">
        <f>IF(J1681&gt;0,"Revenue",IF(J1681&lt;0,"Expense"))</f>
        <v>Revenue</v>
      </c>
      <c r="Q1681" s="366" t="s">
        <v>2232</v>
      </c>
      <c r="R1681" s="393" t="s">
        <v>2232</v>
      </c>
      <c r="S1681" s="395" t="s">
        <v>2233</v>
      </c>
    </row>
    <row r="1682" spans="1:19" ht="12.75" customHeight="1" collapsed="1">
      <c r="J1682" s="413">
        <f>SUM(J1679:J1681)</f>
        <v>725906.71</v>
      </c>
    </row>
    <row r="1684" spans="1:19" ht="12.75" customHeight="1">
      <c r="A1684" s="378" t="s">
        <v>2805</v>
      </c>
    </row>
    <row r="1685" spans="1:19" ht="30.6" hidden="1" customHeight="1" outlineLevel="1">
      <c r="B1685" s="384">
        <v>2025</v>
      </c>
      <c r="C1685" s="384">
        <v>8</v>
      </c>
      <c r="D1685" s="367" t="s">
        <v>5</v>
      </c>
      <c r="E1685" s="367" t="s">
        <v>6</v>
      </c>
      <c r="F1685" s="389" t="s">
        <v>2806</v>
      </c>
      <c r="G1685" s="385">
        <v>45708</v>
      </c>
      <c r="H1685" s="367" t="s">
        <v>14</v>
      </c>
      <c r="I1685" s="368" t="str">
        <f>VLOOKUP(H1685,'Source Codes'!A$2:B$115,2,FALSE)</f>
        <v>AP Warrant Issuance</v>
      </c>
      <c r="J1685" s="412">
        <v>-1559385.1</v>
      </c>
      <c r="K1685" s="385">
        <v>45708</v>
      </c>
      <c r="L1685" s="387" t="s">
        <v>2810</v>
      </c>
      <c r="M1685" s="390">
        <v>45708.794039351851</v>
      </c>
      <c r="N1685" s="367" t="s">
        <v>356</v>
      </c>
      <c r="O1685" s="368" t="s">
        <v>368</v>
      </c>
      <c r="P1685" s="367" t="str">
        <f>IF(J1685&gt;0,"Revenue",IF(J1685&lt;0,"Expense"))</f>
        <v>Expense</v>
      </c>
      <c r="Q1685" s="366" t="s">
        <v>2154</v>
      </c>
      <c r="R1685" s="393" t="s">
        <v>2154</v>
      </c>
      <c r="S1685" s="395" t="s">
        <v>203</v>
      </c>
    </row>
    <row r="1686" spans="1:19" ht="30" hidden="1" outlineLevel="1">
      <c r="B1686" s="384">
        <v>2025</v>
      </c>
      <c r="C1686" s="384">
        <v>8</v>
      </c>
      <c r="D1686" s="367" t="s">
        <v>5</v>
      </c>
      <c r="E1686" s="367" t="s">
        <v>6</v>
      </c>
      <c r="F1686" s="389" t="s">
        <v>2807</v>
      </c>
      <c r="G1686" s="385">
        <v>45708</v>
      </c>
      <c r="H1686" s="367" t="s">
        <v>12</v>
      </c>
      <c r="I1686" s="368" t="str">
        <f>VLOOKUP(H1686,'Source Codes'!A$2:B$115,2,FALSE)</f>
        <v>AR Direct Cash Journal</v>
      </c>
      <c r="J1686" s="412">
        <v>1297829.74</v>
      </c>
      <c r="K1686" s="385">
        <v>45708</v>
      </c>
      <c r="L1686" s="387" t="s">
        <v>2811</v>
      </c>
      <c r="M1686" s="390">
        <v>45708.752013888887</v>
      </c>
      <c r="N1686" s="367" t="s">
        <v>356</v>
      </c>
      <c r="O1686" s="368" t="s">
        <v>370</v>
      </c>
      <c r="P1686" s="367" t="str">
        <f>IF(J1686&gt;0,"Revenue",IF(J1686&lt;0,"Expense"))</f>
        <v>Revenue</v>
      </c>
      <c r="Q1686" s="366" t="s">
        <v>2264</v>
      </c>
      <c r="R1686" s="393" t="s">
        <v>2265</v>
      </c>
      <c r="S1686" s="395" t="s">
        <v>203</v>
      </c>
    </row>
    <row r="1687" spans="1:19" ht="30" hidden="1" outlineLevel="1">
      <c r="B1687" s="384">
        <v>2025</v>
      </c>
      <c r="C1687" s="384">
        <v>8</v>
      </c>
      <c r="D1687" s="367" t="s">
        <v>5</v>
      </c>
      <c r="E1687" s="367" t="s">
        <v>6</v>
      </c>
      <c r="F1687" s="389" t="s">
        <v>2808</v>
      </c>
      <c r="G1687" s="385">
        <v>45689</v>
      </c>
      <c r="H1687" s="367" t="s">
        <v>9</v>
      </c>
      <c r="I1687" s="368" t="str">
        <f>VLOOKUP(H1687,'Source Codes'!A$2:B$115,2,FALSE)</f>
        <v>On Line Journal Entries</v>
      </c>
      <c r="J1687" s="412">
        <v>-5075223.83</v>
      </c>
      <c r="K1687" s="385">
        <v>45708</v>
      </c>
      <c r="L1687" s="387" t="s">
        <v>2809</v>
      </c>
      <c r="M1687" s="390">
        <v>45708.870115740741</v>
      </c>
      <c r="N1687" s="367" t="s">
        <v>356</v>
      </c>
      <c r="O1687" s="368" t="s">
        <v>374</v>
      </c>
      <c r="P1687" s="367" t="str">
        <f>IF(J1687&gt;0,"Revenue",IF(J1687&lt;0,"Expense"))</f>
        <v>Expense</v>
      </c>
      <c r="Q1687" s="366" t="s">
        <v>2202</v>
      </c>
      <c r="R1687" s="393" t="s">
        <v>2812</v>
      </c>
      <c r="S1687" s="395">
        <v>525840</v>
      </c>
    </row>
    <row r="1688" spans="1:19" ht="12.75" customHeight="1" collapsed="1">
      <c r="J1688" s="413">
        <f>SUM(J1685:J1687)</f>
        <v>-5336779.1900000004</v>
      </c>
    </row>
    <row r="1690" spans="1:19" ht="12.75" customHeight="1">
      <c r="A1690" s="378" t="s">
        <v>2813</v>
      </c>
    </row>
    <row r="1691" spans="1:19" ht="60" hidden="1" outlineLevel="1">
      <c r="B1691" s="384">
        <v>2025</v>
      </c>
      <c r="C1691" s="384">
        <v>8</v>
      </c>
      <c r="D1691" s="367" t="s">
        <v>5</v>
      </c>
      <c r="E1691" s="367" t="s">
        <v>6</v>
      </c>
      <c r="F1691" s="389" t="s">
        <v>2814</v>
      </c>
      <c r="G1691" s="385">
        <v>45709</v>
      </c>
      <c r="H1691" s="367" t="s">
        <v>14</v>
      </c>
      <c r="I1691" s="368" t="str">
        <f>VLOOKUP(H1691,'Source Codes'!A$2:B$115,2,FALSE)</f>
        <v>AP Warrant Issuance</v>
      </c>
      <c r="J1691" s="412">
        <v>-1313758.2</v>
      </c>
      <c r="K1691" s="385">
        <v>45709</v>
      </c>
      <c r="L1691" s="387" t="s">
        <v>2817</v>
      </c>
      <c r="M1691" s="390">
        <v>45709.79347222222</v>
      </c>
      <c r="N1691" s="367" t="s">
        <v>2185</v>
      </c>
      <c r="O1691" s="368" t="s">
        <v>532</v>
      </c>
      <c r="P1691" s="367" t="str">
        <f>IF(J1691&gt;0,"Revenue",IF(J1691&lt;0,"Expense"))</f>
        <v>Expense</v>
      </c>
      <c r="Q1691" s="366" t="s">
        <v>2820</v>
      </c>
      <c r="R1691" s="393" t="s">
        <v>2820</v>
      </c>
      <c r="S1691" s="395">
        <v>545440</v>
      </c>
    </row>
    <row r="1692" spans="1:19" ht="30" hidden="1" outlineLevel="1">
      <c r="B1692" s="384">
        <v>2025</v>
      </c>
      <c r="C1692" s="384">
        <v>8</v>
      </c>
      <c r="D1692" s="367" t="s">
        <v>5</v>
      </c>
      <c r="E1692" s="367" t="s">
        <v>6</v>
      </c>
      <c r="F1692" s="389" t="s">
        <v>2815</v>
      </c>
      <c r="G1692" s="385">
        <v>45698</v>
      </c>
      <c r="H1692" s="367" t="s">
        <v>337</v>
      </c>
      <c r="I1692" s="368" t="str">
        <f>VLOOKUP(H1692,'Source Codes'!A$2:B$115,2,FALSE)</f>
        <v>Facilities Mngmnt Intfc Jrnls</v>
      </c>
      <c r="J1692" s="412">
        <v>-4222599.3099999996</v>
      </c>
      <c r="K1692" s="385">
        <v>45709</v>
      </c>
      <c r="L1692" s="387" t="s">
        <v>2816</v>
      </c>
      <c r="M1692" s="390">
        <v>45709.871435185189</v>
      </c>
      <c r="N1692" s="367" t="s">
        <v>356</v>
      </c>
      <c r="O1692" s="368" t="s">
        <v>367</v>
      </c>
      <c r="P1692" s="367" t="str">
        <f>IF(J1692&gt;0,"Revenue",IF(J1692&lt;0,"Expense"))</f>
        <v>Expense</v>
      </c>
      <c r="Q1692" s="366" t="s">
        <v>2237</v>
      </c>
      <c r="R1692" s="393" t="s">
        <v>2818</v>
      </c>
      <c r="S1692" s="395" t="s">
        <v>2239</v>
      </c>
    </row>
    <row r="1693" spans="1:19" ht="12.75" customHeight="1" collapsed="1">
      <c r="J1693" s="413">
        <f>SUM(J1691:J1692)</f>
        <v>-5536357.5099999998</v>
      </c>
    </row>
    <row r="1695" spans="1:19" ht="12.75" customHeight="1">
      <c r="A1695" s="378" t="s">
        <v>2821</v>
      </c>
    </row>
    <row r="1696" spans="1:19" ht="30" hidden="1" outlineLevel="1">
      <c r="B1696" s="384">
        <v>2025</v>
      </c>
      <c r="C1696" s="384">
        <v>8</v>
      </c>
      <c r="D1696" s="367" t="s">
        <v>5</v>
      </c>
      <c r="E1696" s="367" t="s">
        <v>6</v>
      </c>
      <c r="F1696" s="389" t="s">
        <v>2822</v>
      </c>
      <c r="G1696" s="385">
        <v>45709</v>
      </c>
      <c r="H1696" s="367" t="s">
        <v>16</v>
      </c>
      <c r="I1696" s="368" t="str">
        <f>VLOOKUP(H1696,'Source Codes'!A$2:B$115,2,FALSE)</f>
        <v>Property Tax Interface</v>
      </c>
      <c r="J1696" s="412">
        <v>4416482.13</v>
      </c>
      <c r="K1696" s="385">
        <v>45713</v>
      </c>
      <c r="L1696" s="387" t="s">
        <v>2826</v>
      </c>
      <c r="M1696" s="390">
        <v>45713.464375000003</v>
      </c>
      <c r="N1696" s="367" t="s">
        <v>387</v>
      </c>
      <c r="O1696" s="368" t="s">
        <v>384</v>
      </c>
      <c r="P1696" s="367" t="str">
        <f>IF(J1696&gt;0,"Revenue",IF(J1696&lt;0,"Expense"))</f>
        <v>Revenue</v>
      </c>
      <c r="Q1696" s="366" t="s">
        <v>2946</v>
      </c>
      <c r="R1696" s="393" t="s">
        <v>2828</v>
      </c>
      <c r="S1696" s="395" t="s">
        <v>2829</v>
      </c>
    </row>
    <row r="1697" spans="1:19" ht="30" hidden="1" outlineLevel="1">
      <c r="B1697" s="384">
        <v>2025</v>
      </c>
      <c r="C1697" s="384">
        <v>8</v>
      </c>
      <c r="D1697" s="367" t="s">
        <v>5</v>
      </c>
      <c r="E1697" s="367" t="s">
        <v>6</v>
      </c>
      <c r="F1697" s="389" t="s">
        <v>2823</v>
      </c>
      <c r="G1697" s="385">
        <v>45702</v>
      </c>
      <c r="H1697" s="367" t="s">
        <v>9</v>
      </c>
      <c r="I1697" s="368" t="str">
        <f>VLOOKUP(H1697,'Source Codes'!A$2:B$115,2,FALSE)</f>
        <v>On Line Journal Entries</v>
      </c>
      <c r="J1697" s="412">
        <v>1195172.28</v>
      </c>
      <c r="K1697" s="385">
        <v>45713</v>
      </c>
      <c r="L1697" s="387" t="s">
        <v>2827</v>
      </c>
      <c r="M1697" s="390">
        <v>45713.87023148148</v>
      </c>
      <c r="N1697" s="367" t="s">
        <v>361</v>
      </c>
      <c r="O1697" s="368" t="s">
        <v>510</v>
      </c>
      <c r="P1697" s="367" t="str">
        <f>IF(J1697&gt;0,"Revenue",IF(J1697&lt;0,"Expense"))</f>
        <v>Revenue</v>
      </c>
      <c r="Q1697" s="366" t="s">
        <v>2122</v>
      </c>
      <c r="R1697" s="393" t="s">
        <v>2830</v>
      </c>
      <c r="S1697" s="395">
        <v>781100</v>
      </c>
    </row>
    <row r="1698" spans="1:19" ht="15" hidden="1" outlineLevel="1">
      <c r="B1698" s="384">
        <v>2025</v>
      </c>
      <c r="C1698" s="384">
        <v>8</v>
      </c>
      <c r="D1698" s="367" t="s">
        <v>5</v>
      </c>
      <c r="E1698" s="367" t="s">
        <v>6</v>
      </c>
      <c r="F1698" s="389" t="s">
        <v>2824</v>
      </c>
      <c r="G1698" s="385">
        <v>45707</v>
      </c>
      <c r="H1698" s="367" t="s">
        <v>7</v>
      </c>
      <c r="I1698" s="368" t="str">
        <f>VLOOKUP(H1698,'Source Codes'!A$2:B$115,2,FALSE)</f>
        <v>HRMS Interface Journals</v>
      </c>
      <c r="J1698" s="412">
        <v>-2527614.7599999998</v>
      </c>
      <c r="K1698" s="385">
        <v>45713</v>
      </c>
      <c r="L1698" s="387" t="s">
        <v>409</v>
      </c>
      <c r="M1698" s="390">
        <v>45713.434953703705</v>
      </c>
      <c r="N1698" s="367" t="s">
        <v>378</v>
      </c>
      <c r="O1698" s="368" t="s">
        <v>379</v>
      </c>
      <c r="P1698" s="367" t="str">
        <f>IF(J1698&gt;0,"Revenue",IF(J1698&lt;0,"Expense"))</f>
        <v>Expense</v>
      </c>
      <c r="Q1698" s="366" t="s">
        <v>379</v>
      </c>
      <c r="R1698" s="393" t="s">
        <v>2831</v>
      </c>
      <c r="S1698" s="395">
        <v>513120</v>
      </c>
    </row>
    <row r="1699" spans="1:19" ht="15" hidden="1" outlineLevel="1">
      <c r="B1699" s="384">
        <v>2025</v>
      </c>
      <c r="C1699" s="384">
        <v>8</v>
      </c>
      <c r="D1699" s="367" t="s">
        <v>5</v>
      </c>
      <c r="E1699" s="367" t="s">
        <v>6</v>
      </c>
      <c r="F1699" s="389" t="s">
        <v>2825</v>
      </c>
      <c r="G1699" s="385">
        <v>45707</v>
      </c>
      <c r="H1699" s="367" t="s">
        <v>7</v>
      </c>
      <c r="I1699" s="368" t="str">
        <f>VLOOKUP(H1699,'Source Codes'!A$2:B$115,2,FALSE)</f>
        <v>HRMS Interface Journals</v>
      </c>
      <c r="J1699" s="412">
        <v>-11120207.470000001</v>
      </c>
      <c r="K1699" s="385">
        <v>45713</v>
      </c>
      <c r="L1699" s="387" t="s">
        <v>407</v>
      </c>
      <c r="M1699" s="390">
        <v>45713.430833333332</v>
      </c>
      <c r="N1699" s="367" t="s">
        <v>378</v>
      </c>
      <c r="O1699" s="368" t="s">
        <v>379</v>
      </c>
      <c r="P1699" s="367" t="str">
        <f>IF(J1699&gt;0,"Revenue",IF(J1699&lt;0,"Expense"))</f>
        <v>Expense</v>
      </c>
      <c r="Q1699" s="366" t="s">
        <v>379</v>
      </c>
      <c r="R1699" s="393" t="s">
        <v>2831</v>
      </c>
      <c r="S1699" s="395" t="s">
        <v>203</v>
      </c>
    </row>
    <row r="1700" spans="1:19" ht="12.75" customHeight="1" collapsed="1">
      <c r="J1700" s="413">
        <f>SUM(J1696:J1699)</f>
        <v>-8036167.8200000003</v>
      </c>
    </row>
    <row r="1702" spans="1:19" ht="12.75" customHeight="1">
      <c r="A1702" s="378" t="s">
        <v>2833</v>
      </c>
    </row>
    <row r="1703" spans="1:19" ht="45" hidden="1" outlineLevel="1">
      <c r="B1703" s="384">
        <v>2025</v>
      </c>
      <c r="C1703" s="384">
        <v>8</v>
      </c>
      <c r="D1703" s="367" t="s">
        <v>5</v>
      </c>
      <c r="E1703" s="367" t="s">
        <v>6</v>
      </c>
      <c r="F1703" s="389" t="s">
        <v>2834</v>
      </c>
      <c r="G1703" s="385">
        <v>45714</v>
      </c>
      <c r="H1703" s="367" t="s">
        <v>14</v>
      </c>
      <c r="I1703" s="368" t="str">
        <f>VLOOKUP(H1703,'Source Codes'!A$2:B$115,2,FALSE)</f>
        <v>AP Warrant Issuance</v>
      </c>
      <c r="J1703" s="412">
        <v>-2151536.84</v>
      </c>
      <c r="K1703" s="385">
        <v>45714</v>
      </c>
      <c r="L1703" s="387" t="s">
        <v>2839</v>
      </c>
      <c r="M1703" s="390">
        <v>45714.793692129628</v>
      </c>
      <c r="N1703" s="367" t="s">
        <v>356</v>
      </c>
      <c r="O1703" s="368" t="s">
        <v>357</v>
      </c>
      <c r="P1703" s="367" t="str">
        <f>IF(J1703&gt;0,"Revenue",IF(J1703&lt;0,"Expense"))</f>
        <v>Expense</v>
      </c>
      <c r="Q1703" s="366" t="s">
        <v>2309</v>
      </c>
      <c r="R1703" s="393" t="s">
        <v>2310</v>
      </c>
      <c r="S1703" s="395">
        <v>546040</v>
      </c>
    </row>
    <row r="1704" spans="1:19" ht="30" hidden="1" outlineLevel="1">
      <c r="B1704" s="384">
        <v>2025</v>
      </c>
      <c r="C1704" s="384">
        <v>8</v>
      </c>
      <c r="D1704" s="367" t="s">
        <v>5</v>
      </c>
      <c r="E1704" s="367" t="s">
        <v>6</v>
      </c>
      <c r="F1704" s="389" t="s">
        <v>2835</v>
      </c>
      <c r="G1704" s="385">
        <v>45716</v>
      </c>
      <c r="H1704" s="367" t="s">
        <v>14</v>
      </c>
      <c r="I1704" s="368" t="str">
        <f>VLOOKUP(H1704,'Source Codes'!A$2:B$115,2,FALSE)</f>
        <v>AP Warrant Issuance</v>
      </c>
      <c r="J1704" s="412">
        <v>-1586869.84</v>
      </c>
      <c r="K1704" s="385">
        <v>45714</v>
      </c>
      <c r="L1704" s="387" t="s">
        <v>2840</v>
      </c>
      <c r="M1704" s="390">
        <v>45714.793692129628</v>
      </c>
      <c r="N1704" s="367" t="s">
        <v>356</v>
      </c>
      <c r="O1704" s="368" t="s">
        <v>368</v>
      </c>
      <c r="P1704" s="367" t="str">
        <f>IF(J1704&gt;0,"Revenue",IF(J1704&lt;0,"Expense"))</f>
        <v>Expense</v>
      </c>
      <c r="Q1704" s="366" t="s">
        <v>2154</v>
      </c>
      <c r="R1704" s="393" t="s">
        <v>2154</v>
      </c>
      <c r="S1704" s="395" t="s">
        <v>203</v>
      </c>
    </row>
    <row r="1705" spans="1:19" ht="30" hidden="1" outlineLevel="1">
      <c r="B1705" s="384">
        <v>2025</v>
      </c>
      <c r="C1705" s="384">
        <v>8</v>
      </c>
      <c r="D1705" s="367" t="s">
        <v>5</v>
      </c>
      <c r="E1705" s="367" t="s">
        <v>6</v>
      </c>
      <c r="F1705" s="389" t="s">
        <v>2836</v>
      </c>
      <c r="G1705" s="385">
        <v>45714</v>
      </c>
      <c r="H1705" s="367" t="s">
        <v>12</v>
      </c>
      <c r="I1705" s="368" t="str">
        <f>VLOOKUP(H1705,'Source Codes'!A$2:B$115,2,FALSE)</f>
        <v>AR Direct Cash Journal</v>
      </c>
      <c r="J1705" s="412">
        <v>4550880.0599999996</v>
      </c>
      <c r="K1705" s="385">
        <v>45714</v>
      </c>
      <c r="L1705" s="387" t="s">
        <v>2841</v>
      </c>
      <c r="M1705" s="390">
        <v>45714.752175925925</v>
      </c>
      <c r="N1705" s="367" t="s">
        <v>356</v>
      </c>
      <c r="O1705" s="368" t="s">
        <v>371</v>
      </c>
      <c r="P1705" s="367" t="str">
        <f>IF(J1705&gt;0,"Revenue",IF(J1705&lt;0,"Expense"))</f>
        <v>Revenue</v>
      </c>
      <c r="Q1705" s="366" t="s">
        <v>2346</v>
      </c>
      <c r="R1705" s="393" t="s">
        <v>2842</v>
      </c>
      <c r="S1705" s="395">
        <v>750250</v>
      </c>
    </row>
    <row r="1706" spans="1:19" ht="45" hidden="1" outlineLevel="1">
      <c r="B1706" s="384">
        <v>2025</v>
      </c>
      <c r="C1706" s="384">
        <v>8</v>
      </c>
      <c r="D1706" s="367" t="s">
        <v>5</v>
      </c>
      <c r="E1706" s="367" t="s">
        <v>6</v>
      </c>
      <c r="F1706" s="389" t="s">
        <v>2837</v>
      </c>
      <c r="G1706" s="385">
        <v>45713</v>
      </c>
      <c r="H1706" s="367" t="s">
        <v>12</v>
      </c>
      <c r="I1706" s="368" t="str">
        <f>VLOOKUP(H1706,'Source Codes'!A$2:B$115,2,FALSE)</f>
        <v>AR Direct Cash Journal</v>
      </c>
      <c r="J1706" s="412">
        <v>6132423.9800000004</v>
      </c>
      <c r="K1706" s="385">
        <v>45714</v>
      </c>
      <c r="L1706" s="387" t="s">
        <v>2844</v>
      </c>
      <c r="M1706" s="390">
        <v>45714.752175925925</v>
      </c>
      <c r="N1706" s="367" t="s">
        <v>356</v>
      </c>
      <c r="O1706" s="368" t="s">
        <v>371</v>
      </c>
      <c r="P1706" s="367" t="str">
        <f>IF(J1706&gt;0,"Revenue",IF(J1706&lt;0,"Expense"))</f>
        <v>Revenue</v>
      </c>
      <c r="Q1706" s="366" t="s">
        <v>2316</v>
      </c>
      <c r="R1706" s="393" t="s">
        <v>2843</v>
      </c>
      <c r="S1706" s="395">
        <v>710020</v>
      </c>
    </row>
    <row r="1707" spans="1:19" ht="15" hidden="1" outlineLevel="1">
      <c r="B1707" s="384">
        <v>2025</v>
      </c>
      <c r="C1707" s="384">
        <v>8</v>
      </c>
      <c r="D1707" s="367" t="s">
        <v>5</v>
      </c>
      <c r="E1707" s="367" t="s">
        <v>6</v>
      </c>
      <c r="F1707" s="389" t="s">
        <v>2838</v>
      </c>
      <c r="G1707" s="385">
        <v>45707</v>
      </c>
      <c r="H1707" s="367" t="s">
        <v>7</v>
      </c>
      <c r="I1707" s="368" t="str">
        <f>VLOOKUP(H1707,'Source Codes'!A$2:B$115,2,FALSE)</f>
        <v>HRMS Interface Journals</v>
      </c>
      <c r="J1707" s="412">
        <v>-69785388.900000006</v>
      </c>
      <c r="K1707" s="385">
        <v>45714</v>
      </c>
      <c r="L1707" s="387" t="s">
        <v>406</v>
      </c>
      <c r="M1707" s="390">
        <v>45714.338726851849</v>
      </c>
      <c r="N1707" s="367" t="s">
        <v>378</v>
      </c>
      <c r="O1707" s="368" t="s">
        <v>371</v>
      </c>
      <c r="P1707" s="367" t="str">
        <f>IF(J1707&gt;0,"Revenue",IF(J1707&lt;0,"Expense"))</f>
        <v>Expense</v>
      </c>
      <c r="Q1707" s="366" t="s">
        <v>379</v>
      </c>
      <c r="R1707" s="393" t="s">
        <v>2831</v>
      </c>
      <c r="S1707" s="395" t="s">
        <v>203</v>
      </c>
    </row>
    <row r="1708" spans="1:19" ht="12.75" customHeight="1" collapsed="1">
      <c r="I1708" s="398"/>
      <c r="J1708" s="413">
        <f>SUM(J1703:J1707)</f>
        <v>-62840491.540000007</v>
      </c>
    </row>
    <row r="1710" spans="1:19" ht="12.75" customHeight="1">
      <c r="A1710" s="378" t="s">
        <v>2845</v>
      </c>
    </row>
    <row r="1711" spans="1:19" ht="45" hidden="1" outlineLevel="2">
      <c r="B1711" s="384">
        <v>2025</v>
      </c>
      <c r="C1711" s="384">
        <v>8</v>
      </c>
      <c r="D1711" s="367" t="s">
        <v>5</v>
      </c>
      <c r="E1711" s="367" t="s">
        <v>6</v>
      </c>
      <c r="F1711" s="389" t="s">
        <v>2846</v>
      </c>
      <c r="G1711" s="385">
        <v>45713</v>
      </c>
      <c r="H1711" s="367" t="s">
        <v>11</v>
      </c>
      <c r="I1711" s="368" t="str">
        <f>VLOOKUP(H1711,'Source Codes'!A$2:B$115,2,FALSE)</f>
        <v>AR Payments</v>
      </c>
      <c r="J1711" s="412">
        <v>4199132.26</v>
      </c>
      <c r="K1711" s="385">
        <v>45715</v>
      </c>
      <c r="L1711" s="369" t="s">
        <v>2858</v>
      </c>
      <c r="M1711" s="390">
        <v>45715.752569444441</v>
      </c>
      <c r="N1711" s="367" t="s">
        <v>356</v>
      </c>
      <c r="O1711" s="368" t="s">
        <v>357</v>
      </c>
      <c r="P1711" s="367" t="str">
        <f t="shared" ref="P1711:P1719" si="14">IF(J1711&gt;0,"Revenue",IF(J1711&lt;0,"Expense"))</f>
        <v>Revenue</v>
      </c>
      <c r="Q1711" s="366" t="s">
        <v>2856</v>
      </c>
      <c r="R1711" s="393" t="s">
        <v>2857</v>
      </c>
      <c r="S1711" s="395" t="s">
        <v>2859</v>
      </c>
    </row>
    <row r="1712" spans="1:19" ht="30" hidden="1" outlineLevel="2">
      <c r="B1712" s="384">
        <v>2025</v>
      </c>
      <c r="C1712" s="384">
        <v>8</v>
      </c>
      <c r="D1712" s="367" t="s">
        <v>5</v>
      </c>
      <c r="E1712" s="367" t="s">
        <v>6</v>
      </c>
      <c r="F1712" s="389" t="s">
        <v>2847</v>
      </c>
      <c r="G1712" s="385">
        <v>45715</v>
      </c>
      <c r="H1712" s="367" t="s">
        <v>9</v>
      </c>
      <c r="I1712" s="368" t="str">
        <f>VLOOKUP(H1712,'Source Codes'!A$2:B$115,2,FALSE)</f>
        <v>On Line Journal Entries</v>
      </c>
      <c r="J1712" s="412">
        <v>-3498559.35</v>
      </c>
      <c r="K1712" s="385">
        <v>45715</v>
      </c>
      <c r="L1712" s="387" t="s">
        <v>2855</v>
      </c>
      <c r="M1712" s="390">
        <v>45715.870208333334</v>
      </c>
      <c r="N1712" s="367" t="s">
        <v>356</v>
      </c>
      <c r="O1712" s="368" t="s">
        <v>371</v>
      </c>
      <c r="P1712" s="367" t="str">
        <f t="shared" si="14"/>
        <v>Expense</v>
      </c>
      <c r="Q1712" s="366" t="s">
        <v>2429</v>
      </c>
      <c r="R1712" s="366" t="s">
        <v>2890</v>
      </c>
      <c r="S1712" s="366" t="s">
        <v>2166</v>
      </c>
    </row>
    <row r="1713" spans="1:19" ht="30" hidden="1" outlineLevel="2">
      <c r="B1713" s="384">
        <v>2025</v>
      </c>
      <c r="C1713" s="384">
        <v>8</v>
      </c>
      <c r="D1713" s="367" t="s">
        <v>5</v>
      </c>
      <c r="E1713" s="367" t="s">
        <v>6</v>
      </c>
      <c r="F1713" s="389" t="s">
        <v>2848</v>
      </c>
      <c r="G1713" s="385">
        <v>45708</v>
      </c>
      <c r="H1713" s="367" t="s">
        <v>9</v>
      </c>
      <c r="I1713" s="368" t="str">
        <f>VLOOKUP(H1713,'Source Codes'!A$2:B$115,2,FALSE)</f>
        <v>On Line Journal Entries</v>
      </c>
      <c r="J1713" s="412">
        <v>1537200</v>
      </c>
      <c r="K1713" s="385">
        <v>45715</v>
      </c>
      <c r="L1713" s="387" t="s">
        <v>344</v>
      </c>
      <c r="M1713" s="390">
        <v>45715.547175925924</v>
      </c>
      <c r="N1713" s="367" t="s">
        <v>356</v>
      </c>
      <c r="O1713" s="368" t="s">
        <v>364</v>
      </c>
      <c r="P1713" s="367" t="str">
        <f t="shared" si="14"/>
        <v>Revenue</v>
      </c>
      <c r="Q1713" s="366" t="s">
        <v>2232</v>
      </c>
      <c r="R1713" s="366" t="s">
        <v>2232</v>
      </c>
      <c r="S1713" s="395" t="s">
        <v>2533</v>
      </c>
    </row>
    <row r="1714" spans="1:19" ht="30" hidden="1" outlineLevel="2">
      <c r="B1714" s="384">
        <v>2025</v>
      </c>
      <c r="C1714" s="384">
        <v>8</v>
      </c>
      <c r="D1714" s="367" t="s">
        <v>5</v>
      </c>
      <c r="E1714" s="367" t="s">
        <v>6</v>
      </c>
      <c r="F1714" s="389" t="s">
        <v>2849</v>
      </c>
      <c r="G1714" s="385">
        <v>45708</v>
      </c>
      <c r="H1714" s="367" t="s">
        <v>9</v>
      </c>
      <c r="I1714" s="368" t="str">
        <f>VLOOKUP(H1714,'Source Codes'!A$2:B$115,2,FALSE)</f>
        <v>On Line Journal Entries</v>
      </c>
      <c r="J1714" s="412">
        <v>1732023</v>
      </c>
      <c r="K1714" s="385">
        <v>45715</v>
      </c>
      <c r="L1714" s="387" t="s">
        <v>344</v>
      </c>
      <c r="M1714" s="390">
        <v>45715.545474537037</v>
      </c>
      <c r="N1714" s="367" t="s">
        <v>356</v>
      </c>
      <c r="O1714" s="368" t="s">
        <v>364</v>
      </c>
      <c r="P1714" s="367" t="str">
        <f t="shared" si="14"/>
        <v>Revenue</v>
      </c>
      <c r="Q1714" s="366" t="s">
        <v>2232</v>
      </c>
      <c r="R1714" s="366" t="s">
        <v>2232</v>
      </c>
      <c r="S1714" s="395" t="s">
        <v>2533</v>
      </c>
    </row>
    <row r="1715" spans="1:19" ht="30" hidden="1" outlineLevel="2">
      <c r="B1715" s="384">
        <v>2025</v>
      </c>
      <c r="C1715" s="384">
        <v>8</v>
      </c>
      <c r="D1715" s="367" t="s">
        <v>5</v>
      </c>
      <c r="E1715" s="367" t="s">
        <v>6</v>
      </c>
      <c r="F1715" s="389" t="s">
        <v>2850</v>
      </c>
      <c r="G1715" s="385">
        <v>45708</v>
      </c>
      <c r="H1715" s="367" t="s">
        <v>9</v>
      </c>
      <c r="I1715" s="368" t="str">
        <f>VLOOKUP(H1715,'Source Codes'!A$2:B$115,2,FALSE)</f>
        <v>On Line Journal Entries</v>
      </c>
      <c r="J1715" s="412">
        <v>2939800</v>
      </c>
      <c r="K1715" s="385">
        <v>45715</v>
      </c>
      <c r="L1715" s="387" t="s">
        <v>344</v>
      </c>
      <c r="M1715" s="390">
        <v>45715.546759259261</v>
      </c>
      <c r="N1715" s="367" t="s">
        <v>356</v>
      </c>
      <c r="O1715" s="368" t="s">
        <v>364</v>
      </c>
      <c r="P1715" s="367" t="str">
        <f t="shared" si="14"/>
        <v>Revenue</v>
      </c>
      <c r="Q1715" s="366" t="s">
        <v>2232</v>
      </c>
      <c r="R1715" s="366" t="s">
        <v>2232</v>
      </c>
      <c r="S1715" s="395" t="s">
        <v>2533</v>
      </c>
    </row>
    <row r="1716" spans="1:19" ht="30" hidden="1" outlineLevel="2">
      <c r="B1716" s="384">
        <v>2025</v>
      </c>
      <c r="C1716" s="384">
        <v>8</v>
      </c>
      <c r="D1716" s="367" t="s">
        <v>5</v>
      </c>
      <c r="E1716" s="367" t="s">
        <v>6</v>
      </c>
      <c r="F1716" s="389" t="s">
        <v>2851</v>
      </c>
      <c r="G1716" s="385">
        <v>45708</v>
      </c>
      <c r="H1716" s="367" t="s">
        <v>9</v>
      </c>
      <c r="I1716" s="368" t="str">
        <f>VLOOKUP(H1716,'Source Codes'!A$2:B$115,2,FALSE)</f>
        <v>On Line Journal Entries</v>
      </c>
      <c r="J1716" s="412">
        <v>7037700</v>
      </c>
      <c r="K1716" s="385">
        <v>45715</v>
      </c>
      <c r="L1716" s="387" t="s">
        <v>344</v>
      </c>
      <c r="M1716" s="390">
        <v>45715.545949074076</v>
      </c>
      <c r="N1716" s="367" t="s">
        <v>356</v>
      </c>
      <c r="O1716" s="368" t="s">
        <v>364</v>
      </c>
      <c r="P1716" s="367" t="str">
        <f t="shared" si="14"/>
        <v>Revenue</v>
      </c>
      <c r="Q1716" s="366" t="s">
        <v>2232</v>
      </c>
      <c r="R1716" s="366" t="s">
        <v>2232</v>
      </c>
      <c r="S1716" s="395" t="s">
        <v>2533</v>
      </c>
    </row>
    <row r="1717" spans="1:19" ht="30" hidden="1" outlineLevel="2">
      <c r="B1717" s="384">
        <v>2025</v>
      </c>
      <c r="C1717" s="384">
        <v>8</v>
      </c>
      <c r="D1717" s="367" t="s">
        <v>5</v>
      </c>
      <c r="E1717" s="367" t="s">
        <v>6</v>
      </c>
      <c r="F1717" s="389" t="s">
        <v>2852</v>
      </c>
      <c r="G1717" s="385">
        <v>45708</v>
      </c>
      <c r="H1717" s="367" t="s">
        <v>9</v>
      </c>
      <c r="I1717" s="368" t="str">
        <f>VLOOKUP(H1717,'Source Codes'!A$2:B$115,2,FALSE)</f>
        <v>On Line Journal Entries</v>
      </c>
      <c r="J1717" s="412">
        <v>7938750</v>
      </c>
      <c r="K1717" s="385">
        <v>45715</v>
      </c>
      <c r="L1717" s="387" t="s">
        <v>344</v>
      </c>
      <c r="M1717" s="390">
        <v>45715.547662037039</v>
      </c>
      <c r="N1717" s="367" t="s">
        <v>356</v>
      </c>
      <c r="O1717" s="368" t="s">
        <v>364</v>
      </c>
      <c r="P1717" s="367" t="str">
        <f t="shared" si="14"/>
        <v>Revenue</v>
      </c>
      <c r="Q1717" s="366" t="s">
        <v>2232</v>
      </c>
      <c r="R1717" s="366" t="s">
        <v>2232</v>
      </c>
      <c r="S1717" s="395" t="s">
        <v>2533</v>
      </c>
    </row>
    <row r="1718" spans="1:19" ht="30" hidden="1" outlineLevel="2">
      <c r="B1718" s="384">
        <v>2025</v>
      </c>
      <c r="C1718" s="384">
        <v>8</v>
      </c>
      <c r="D1718" s="367" t="s">
        <v>5</v>
      </c>
      <c r="E1718" s="367" t="s">
        <v>6</v>
      </c>
      <c r="F1718" s="389" t="s">
        <v>2853</v>
      </c>
      <c r="G1718" s="385">
        <v>45708</v>
      </c>
      <c r="H1718" s="367" t="s">
        <v>9</v>
      </c>
      <c r="I1718" s="368" t="str">
        <f>VLOOKUP(H1718,'Source Codes'!A$2:B$115,2,FALSE)</f>
        <v>On Line Journal Entries</v>
      </c>
      <c r="J1718" s="412">
        <v>8181800</v>
      </c>
      <c r="K1718" s="385">
        <v>45715</v>
      </c>
      <c r="L1718" s="387" t="s">
        <v>344</v>
      </c>
      <c r="M1718" s="390">
        <v>45715.546331018515</v>
      </c>
      <c r="N1718" s="367" t="s">
        <v>356</v>
      </c>
      <c r="O1718" s="368" t="s">
        <v>364</v>
      </c>
      <c r="P1718" s="367" t="str">
        <f t="shared" si="14"/>
        <v>Revenue</v>
      </c>
      <c r="Q1718" s="366" t="s">
        <v>2232</v>
      </c>
      <c r="R1718" s="366" t="s">
        <v>2232</v>
      </c>
      <c r="S1718" s="395" t="s">
        <v>2533</v>
      </c>
    </row>
    <row r="1719" spans="1:19" ht="30" hidden="1" outlineLevel="2">
      <c r="B1719" s="384">
        <v>2025</v>
      </c>
      <c r="C1719" s="384">
        <v>8</v>
      </c>
      <c r="D1719" s="367" t="s">
        <v>5</v>
      </c>
      <c r="E1719" s="367" t="s">
        <v>6</v>
      </c>
      <c r="F1719" s="389" t="s">
        <v>2854</v>
      </c>
      <c r="G1719" s="385">
        <v>45708</v>
      </c>
      <c r="H1719" s="367" t="s">
        <v>9</v>
      </c>
      <c r="I1719" s="368" t="str">
        <f>VLOOKUP(H1719,'Source Codes'!A$2:B$115,2,FALSE)</f>
        <v>On Line Journal Entries</v>
      </c>
      <c r="J1719" s="412">
        <v>9356385.1400000006</v>
      </c>
      <c r="K1719" s="385">
        <v>45715</v>
      </c>
      <c r="L1719" s="387" t="s">
        <v>344</v>
      </c>
      <c r="M1719" s="390">
        <v>45715.548032407409</v>
      </c>
      <c r="N1719" s="367" t="s">
        <v>356</v>
      </c>
      <c r="O1719" s="368" t="s">
        <v>364</v>
      </c>
      <c r="P1719" s="367" t="str">
        <f t="shared" si="14"/>
        <v>Revenue</v>
      </c>
      <c r="Q1719" s="366" t="s">
        <v>2232</v>
      </c>
      <c r="R1719" s="366" t="s">
        <v>2232</v>
      </c>
      <c r="S1719" s="395" t="s">
        <v>2533</v>
      </c>
    </row>
    <row r="1720" spans="1:19" ht="12.75" customHeight="1" collapsed="1">
      <c r="J1720" s="413">
        <f>SUM(J1711:J1719)</f>
        <v>39424231.049999997</v>
      </c>
    </row>
    <row r="1722" spans="1:19" ht="12.75" customHeight="1">
      <c r="A1722" s="378" t="s">
        <v>2860</v>
      </c>
    </row>
    <row r="1723" spans="1:19" ht="30" hidden="1" outlineLevel="1">
      <c r="B1723" s="384">
        <v>2025</v>
      </c>
      <c r="C1723" s="384">
        <v>8</v>
      </c>
      <c r="D1723" s="367" t="s">
        <v>5</v>
      </c>
      <c r="E1723" s="367" t="s">
        <v>6</v>
      </c>
      <c r="F1723" s="389" t="s">
        <v>2861</v>
      </c>
      <c r="G1723" s="385">
        <v>45715</v>
      </c>
      <c r="H1723" s="367" t="s">
        <v>12</v>
      </c>
      <c r="I1723" s="368" t="str">
        <f>VLOOKUP(H1723,'Source Codes'!A$2:B$115,2,FALSE)</f>
        <v>AR Direct Cash Journal</v>
      </c>
      <c r="J1723" s="412">
        <v>1118208.19</v>
      </c>
      <c r="K1723" s="385">
        <v>45716</v>
      </c>
      <c r="L1723" s="387" t="s">
        <v>2867</v>
      </c>
      <c r="M1723" s="390">
        <v>45716.75203703704</v>
      </c>
      <c r="N1723" s="367" t="s">
        <v>361</v>
      </c>
      <c r="O1723" s="368" t="s">
        <v>368</v>
      </c>
      <c r="P1723" s="367" t="str">
        <f>IF(J1723&gt;0,"Revenue",IF(J1723&lt;0,"Expense"))</f>
        <v>Revenue</v>
      </c>
      <c r="Q1723" s="366" t="s">
        <v>2177</v>
      </c>
      <c r="R1723" s="393" t="s">
        <v>2865</v>
      </c>
      <c r="S1723" s="395" t="s">
        <v>2866</v>
      </c>
    </row>
    <row r="1724" spans="1:19" ht="30" hidden="1" outlineLevel="1">
      <c r="B1724" s="384">
        <v>2025</v>
      </c>
      <c r="C1724" s="384">
        <v>8</v>
      </c>
      <c r="D1724" s="367" t="s">
        <v>5</v>
      </c>
      <c r="E1724" s="367" t="s">
        <v>6</v>
      </c>
      <c r="F1724" s="389" t="s">
        <v>2862</v>
      </c>
      <c r="G1724" s="385">
        <v>45708</v>
      </c>
      <c r="H1724" s="367" t="s">
        <v>12</v>
      </c>
      <c r="I1724" s="368" t="str">
        <f>VLOOKUP(H1724,'Source Codes'!A$2:B$115,2,FALSE)</f>
        <v>AR Direct Cash Journal</v>
      </c>
      <c r="J1724" s="412">
        <v>5728194.5499999998</v>
      </c>
      <c r="K1724" s="385">
        <v>45716</v>
      </c>
      <c r="L1724" s="387" t="s">
        <v>2868</v>
      </c>
      <c r="M1724" s="390">
        <v>45716.75203703704</v>
      </c>
      <c r="N1724" s="367" t="s">
        <v>2185</v>
      </c>
      <c r="O1724" s="368" t="s">
        <v>385</v>
      </c>
      <c r="P1724" s="367" t="str">
        <f>IF(J1724&gt;0,"Revenue",IF(J1724&lt;0,"Expense"))</f>
        <v>Revenue</v>
      </c>
      <c r="Q1724" s="366" t="s">
        <v>2757</v>
      </c>
      <c r="R1724" s="393" t="s">
        <v>2715</v>
      </c>
      <c r="S1724" s="395">
        <v>112632</v>
      </c>
    </row>
    <row r="1725" spans="1:19" ht="15" hidden="1" outlineLevel="1">
      <c r="B1725" s="384">
        <v>2025</v>
      </c>
      <c r="C1725" s="384">
        <v>8</v>
      </c>
      <c r="D1725" s="367" t="s">
        <v>5</v>
      </c>
      <c r="E1725" s="367" t="s">
        <v>6</v>
      </c>
      <c r="F1725" s="389" t="s">
        <v>2863</v>
      </c>
      <c r="G1725" s="385">
        <v>45693</v>
      </c>
      <c r="H1725" s="367" t="s">
        <v>9</v>
      </c>
      <c r="I1725" s="368" t="str">
        <f>VLOOKUP(H1725,'Source Codes'!A$2:B$115,2,FALSE)</f>
        <v>On Line Journal Entries</v>
      </c>
      <c r="J1725" s="412">
        <v>4079859.87</v>
      </c>
      <c r="K1725" s="385">
        <v>45716</v>
      </c>
      <c r="L1725" s="387" t="s">
        <v>2864</v>
      </c>
      <c r="M1725" s="390">
        <v>45716.871122685188</v>
      </c>
      <c r="N1725" s="367" t="s">
        <v>361</v>
      </c>
      <c r="O1725" s="368" t="s">
        <v>368</v>
      </c>
      <c r="P1725" s="367" t="str">
        <f>IF(J1725&gt;0,"Revenue",IF(J1725&lt;0,"Expense"))</f>
        <v>Revenue</v>
      </c>
      <c r="Q1725" s="366" t="s">
        <v>2869</v>
      </c>
      <c r="R1725" s="393" t="s">
        <v>2563</v>
      </c>
      <c r="S1725" s="395">
        <v>755926</v>
      </c>
    </row>
    <row r="1726" spans="1:19" ht="12.75" customHeight="1" collapsed="1">
      <c r="J1726" s="413">
        <f>SUM(J1723:J1725)</f>
        <v>10926262.609999999</v>
      </c>
    </row>
    <row r="1728" spans="1:19" ht="12.75" customHeight="1">
      <c r="A1728" s="378" t="s">
        <v>2870</v>
      </c>
    </row>
    <row r="1729" spans="1:19" ht="30" hidden="1" outlineLevel="1">
      <c r="B1729" s="384">
        <v>2025</v>
      </c>
      <c r="C1729" s="384">
        <v>9</v>
      </c>
      <c r="D1729" s="367" t="s">
        <v>5</v>
      </c>
      <c r="E1729" s="367" t="s">
        <v>6</v>
      </c>
      <c r="F1729" s="389" t="s">
        <v>2871</v>
      </c>
      <c r="G1729" s="385">
        <v>45719</v>
      </c>
      <c r="H1729" s="367" t="s">
        <v>14</v>
      </c>
      <c r="I1729" s="368" t="str">
        <f>VLOOKUP(H1729,'Source Codes'!A$2:B$115,2,FALSE)</f>
        <v>AP Warrant Issuance</v>
      </c>
      <c r="J1729" s="412">
        <v>-1298564.82</v>
      </c>
      <c r="K1729" s="385">
        <v>45719</v>
      </c>
      <c r="L1729" s="387" t="s">
        <v>2885</v>
      </c>
      <c r="M1729" s="390">
        <v>45719.793576388889</v>
      </c>
      <c r="N1729" s="367" t="s">
        <v>356</v>
      </c>
      <c r="O1729" s="368" t="s">
        <v>368</v>
      </c>
      <c r="P1729" s="367" t="str">
        <f t="shared" ref="P1729:P1736" si="15">IF(J1729&gt;0,"Revenue",IF(J1729&lt;0,"Expense"))</f>
        <v>Expense</v>
      </c>
      <c r="Q1729" s="366" t="s">
        <v>2154</v>
      </c>
      <c r="R1729" s="393" t="s">
        <v>2154</v>
      </c>
      <c r="S1729" s="395" t="s">
        <v>203</v>
      </c>
    </row>
    <row r="1730" spans="1:19" ht="45" hidden="1" outlineLevel="1">
      <c r="B1730" s="384">
        <v>2025</v>
      </c>
      <c r="C1730" s="384">
        <v>9</v>
      </c>
      <c r="D1730" s="367" t="s">
        <v>5</v>
      </c>
      <c r="E1730" s="367" t="s">
        <v>6</v>
      </c>
      <c r="F1730" s="389" t="s">
        <v>2872</v>
      </c>
      <c r="G1730" s="385">
        <v>45719</v>
      </c>
      <c r="H1730" s="367" t="s">
        <v>11</v>
      </c>
      <c r="I1730" s="368" t="str">
        <f>VLOOKUP(H1730,'Source Codes'!A$2:B$115,2,FALSE)</f>
        <v>AR Payments</v>
      </c>
      <c r="J1730" s="412">
        <v>2824471.16</v>
      </c>
      <c r="K1730" s="385">
        <v>45719</v>
      </c>
      <c r="L1730" s="387" t="s">
        <v>2886</v>
      </c>
      <c r="M1730" s="390">
        <v>45719.751909722225</v>
      </c>
      <c r="N1730" s="367" t="s">
        <v>356</v>
      </c>
      <c r="O1730" s="368" t="s">
        <v>357</v>
      </c>
      <c r="P1730" s="367" t="str">
        <f t="shared" si="15"/>
        <v>Revenue</v>
      </c>
      <c r="Q1730" s="366" t="s">
        <v>2157</v>
      </c>
      <c r="R1730" s="393" t="s">
        <v>2857</v>
      </c>
      <c r="S1730" s="395" t="s">
        <v>2231</v>
      </c>
    </row>
    <row r="1731" spans="1:19" ht="30" hidden="1" outlineLevel="1">
      <c r="B1731" s="384">
        <v>2025</v>
      </c>
      <c r="C1731" s="384">
        <v>8</v>
      </c>
      <c r="D1731" s="367" t="s">
        <v>5</v>
      </c>
      <c r="E1731" s="367" t="s">
        <v>6</v>
      </c>
      <c r="F1731" s="389" t="s">
        <v>2873</v>
      </c>
      <c r="G1731" s="385">
        <v>45708</v>
      </c>
      <c r="H1731" s="367" t="s">
        <v>9</v>
      </c>
      <c r="I1731" s="368" t="str">
        <f>VLOOKUP(H1731,'Source Codes'!A$2:B$115,2,FALSE)</f>
        <v>On Line Journal Entries</v>
      </c>
      <c r="J1731" s="412">
        <v>31549628.390000001</v>
      </c>
      <c r="K1731" s="385">
        <v>45719</v>
      </c>
      <c r="L1731" s="387" t="s">
        <v>2879</v>
      </c>
      <c r="M1731" s="390">
        <v>45719.869953703703</v>
      </c>
      <c r="N1731" s="367" t="s">
        <v>356</v>
      </c>
      <c r="O1731" s="368" t="s">
        <v>371</v>
      </c>
      <c r="P1731" s="367" t="str">
        <f t="shared" si="15"/>
        <v>Revenue</v>
      </c>
      <c r="Q1731" s="366" t="s">
        <v>2158</v>
      </c>
      <c r="R1731" s="393" t="s">
        <v>2887</v>
      </c>
      <c r="S1731" s="395">
        <v>755120</v>
      </c>
    </row>
    <row r="1732" spans="1:19" ht="45" hidden="1" outlineLevel="1">
      <c r="B1732" s="384">
        <v>2025</v>
      </c>
      <c r="C1732" s="384">
        <v>8</v>
      </c>
      <c r="D1732" s="367" t="s">
        <v>5</v>
      </c>
      <c r="E1732" s="367" t="s">
        <v>6</v>
      </c>
      <c r="F1732" s="389" t="s">
        <v>2874</v>
      </c>
      <c r="G1732" s="385">
        <v>45708</v>
      </c>
      <c r="H1732" s="367" t="s">
        <v>9</v>
      </c>
      <c r="I1732" s="368" t="str">
        <f>VLOOKUP(H1732,'Source Codes'!A$2:B$115,2,FALSE)</f>
        <v>On Line Journal Entries</v>
      </c>
      <c r="J1732" s="412">
        <v>15142862.289999999</v>
      </c>
      <c r="K1732" s="385">
        <v>45719</v>
      </c>
      <c r="L1732" s="387" t="s">
        <v>2880</v>
      </c>
      <c r="M1732" s="390">
        <v>45719.869953703703</v>
      </c>
      <c r="N1732" s="367" t="s">
        <v>356</v>
      </c>
      <c r="O1732" s="368" t="s">
        <v>371</v>
      </c>
      <c r="P1732" s="367" t="str">
        <f t="shared" si="15"/>
        <v>Revenue</v>
      </c>
      <c r="Q1732" s="366" t="s">
        <v>2427</v>
      </c>
      <c r="R1732" s="393" t="s">
        <v>2888</v>
      </c>
      <c r="S1732" s="395" t="s">
        <v>2160</v>
      </c>
    </row>
    <row r="1733" spans="1:19" ht="60" hidden="1" outlineLevel="1">
      <c r="B1733" s="384">
        <v>2025</v>
      </c>
      <c r="C1733" s="384">
        <v>8</v>
      </c>
      <c r="D1733" s="367" t="s">
        <v>5</v>
      </c>
      <c r="E1733" s="367" t="s">
        <v>6</v>
      </c>
      <c r="F1733" s="389" t="s">
        <v>2875</v>
      </c>
      <c r="G1733" s="385">
        <v>45708</v>
      </c>
      <c r="H1733" s="367" t="s">
        <v>9</v>
      </c>
      <c r="I1733" s="368" t="str">
        <f>VLOOKUP(H1733,'Source Codes'!A$2:B$115,2,FALSE)</f>
        <v>On Line Journal Entries</v>
      </c>
      <c r="J1733" s="412">
        <v>3348859.09</v>
      </c>
      <c r="K1733" s="385">
        <v>45719</v>
      </c>
      <c r="L1733" s="387" t="s">
        <v>2881</v>
      </c>
      <c r="M1733" s="390">
        <v>45719.869953703703</v>
      </c>
      <c r="N1733" s="367" t="s">
        <v>356</v>
      </c>
      <c r="O1733" s="368" t="s">
        <v>371</v>
      </c>
      <c r="P1733" s="367" t="str">
        <f t="shared" si="15"/>
        <v>Revenue</v>
      </c>
      <c r="Q1733" s="366" t="s">
        <v>2163</v>
      </c>
      <c r="R1733" s="393" t="s">
        <v>2889</v>
      </c>
      <c r="S1733" s="395">
        <v>750900</v>
      </c>
    </row>
    <row r="1734" spans="1:19" ht="15" hidden="1" outlineLevel="1">
      <c r="B1734" s="384">
        <v>2025</v>
      </c>
      <c r="C1734" s="384">
        <v>8</v>
      </c>
      <c r="D1734" s="367" t="s">
        <v>5</v>
      </c>
      <c r="E1734" s="367" t="s">
        <v>6</v>
      </c>
      <c r="F1734" s="389" t="s">
        <v>2876</v>
      </c>
      <c r="G1734" s="385">
        <v>45708</v>
      </c>
      <c r="H1734" s="367" t="s">
        <v>9</v>
      </c>
      <c r="I1734" s="368" t="str">
        <f>VLOOKUP(H1734,'Source Codes'!A$2:B$115,2,FALSE)</f>
        <v>On Line Journal Entries</v>
      </c>
      <c r="J1734" s="412">
        <v>2271771.85</v>
      </c>
      <c r="K1734" s="385">
        <v>45719</v>
      </c>
      <c r="L1734" s="387" t="s">
        <v>2882</v>
      </c>
      <c r="M1734" s="390">
        <v>45719.869953703703</v>
      </c>
      <c r="N1734" s="367" t="s">
        <v>356</v>
      </c>
      <c r="O1734" s="368" t="s">
        <v>371</v>
      </c>
      <c r="P1734" s="367" t="str">
        <f t="shared" si="15"/>
        <v>Revenue</v>
      </c>
      <c r="Q1734" s="366" t="s">
        <v>2164</v>
      </c>
      <c r="R1734" s="393">
        <v>45689</v>
      </c>
      <c r="S1734" s="395">
        <v>755909</v>
      </c>
    </row>
    <row r="1735" spans="1:19" ht="45" hidden="1" outlineLevel="1">
      <c r="B1735" s="384">
        <v>2025</v>
      </c>
      <c r="C1735" s="384">
        <v>8</v>
      </c>
      <c r="D1735" s="367" t="s">
        <v>5</v>
      </c>
      <c r="E1735" s="367" t="s">
        <v>6</v>
      </c>
      <c r="F1735" s="389" t="s">
        <v>2877</v>
      </c>
      <c r="G1735" s="385">
        <v>45708</v>
      </c>
      <c r="H1735" s="367" t="s">
        <v>9</v>
      </c>
      <c r="I1735" s="368" t="str">
        <f>VLOOKUP(H1735,'Source Codes'!A$2:B$115,2,FALSE)</f>
        <v>On Line Journal Entries</v>
      </c>
      <c r="J1735" s="412">
        <v>1442525.78</v>
      </c>
      <c r="K1735" s="385">
        <v>45719</v>
      </c>
      <c r="L1735" s="387" t="s">
        <v>2883</v>
      </c>
      <c r="M1735" s="390">
        <v>45719.869953703703</v>
      </c>
      <c r="N1735" s="367" t="s">
        <v>356</v>
      </c>
      <c r="O1735" s="368" t="s">
        <v>371</v>
      </c>
      <c r="P1735" s="367" t="str">
        <f t="shared" si="15"/>
        <v>Revenue</v>
      </c>
      <c r="Q1735" s="366" t="s">
        <v>2165</v>
      </c>
      <c r="R1735" s="393" t="s">
        <v>2888</v>
      </c>
      <c r="S1735" s="395">
        <v>751500</v>
      </c>
    </row>
    <row r="1736" spans="1:19" ht="30" hidden="1" outlineLevel="1">
      <c r="B1736" s="384">
        <v>2025</v>
      </c>
      <c r="C1736" s="384">
        <v>8</v>
      </c>
      <c r="D1736" s="367" t="s">
        <v>5</v>
      </c>
      <c r="E1736" s="367" t="s">
        <v>6</v>
      </c>
      <c r="F1736" s="389" t="s">
        <v>2878</v>
      </c>
      <c r="G1736" s="385">
        <v>45714</v>
      </c>
      <c r="H1736" s="367" t="s">
        <v>9</v>
      </c>
      <c r="I1736" s="368" t="str">
        <f>VLOOKUP(H1736,'Source Codes'!A$2:B$115,2,FALSE)</f>
        <v>On Line Journal Entries</v>
      </c>
      <c r="J1736" s="412">
        <v>-3339564.48</v>
      </c>
      <c r="K1736" s="385">
        <v>45719</v>
      </c>
      <c r="L1736" s="387" t="s">
        <v>2884</v>
      </c>
      <c r="M1736" s="390">
        <v>45719.869953703703</v>
      </c>
      <c r="N1736" s="367" t="s">
        <v>356</v>
      </c>
      <c r="O1736" s="368" t="s">
        <v>371</v>
      </c>
      <c r="P1736" s="367" t="str">
        <f t="shared" si="15"/>
        <v>Expense</v>
      </c>
      <c r="Q1736" s="366" t="s">
        <v>2429</v>
      </c>
      <c r="R1736" s="393" t="s">
        <v>2891</v>
      </c>
      <c r="S1736" s="395" t="s">
        <v>2166</v>
      </c>
    </row>
    <row r="1737" spans="1:19" ht="12.75" customHeight="1" collapsed="1">
      <c r="J1737" s="413">
        <f>SUM(J1729:J1736)</f>
        <v>51941989.260000005</v>
      </c>
    </row>
    <row r="1739" spans="1:19" ht="12.75" customHeight="1">
      <c r="A1739" s="378" t="s">
        <v>2892</v>
      </c>
    </row>
    <row r="1740" spans="1:19" ht="45" hidden="1" outlineLevel="1">
      <c r="B1740" s="384">
        <v>2025</v>
      </c>
      <c r="C1740" s="384">
        <v>9</v>
      </c>
      <c r="D1740" s="367" t="s">
        <v>5</v>
      </c>
      <c r="E1740" s="367" t="s">
        <v>6</v>
      </c>
      <c r="F1740" s="389" t="s">
        <v>2893</v>
      </c>
      <c r="G1740" s="385">
        <v>45722</v>
      </c>
      <c r="H1740" s="367" t="s">
        <v>14</v>
      </c>
      <c r="I1740" s="368" t="str">
        <f>VLOOKUP(H1740,'Source Codes'!A$2:B$115,2,FALSE)</f>
        <v>AP Warrant Issuance</v>
      </c>
      <c r="J1740" s="412">
        <v>-1909196.83</v>
      </c>
      <c r="K1740" s="385">
        <v>45720</v>
      </c>
      <c r="L1740" s="387" t="s">
        <v>2898</v>
      </c>
      <c r="M1740" s="390">
        <v>45720.793657407405</v>
      </c>
      <c r="N1740" s="367" t="s">
        <v>356</v>
      </c>
      <c r="O1740" s="368" t="s">
        <v>368</v>
      </c>
      <c r="P1740" s="367" t="str">
        <f>IF(J1740&gt;0,"Revenue",IF(J1740&lt;0,"Expense"))</f>
        <v>Expense</v>
      </c>
      <c r="Q1740" s="366" t="s">
        <v>2154</v>
      </c>
      <c r="R1740" s="393" t="s">
        <v>2154</v>
      </c>
      <c r="S1740" s="395">
        <v>530280</v>
      </c>
    </row>
    <row r="1741" spans="1:19" ht="15" hidden="1" outlineLevel="1">
      <c r="B1741" s="384">
        <v>2025</v>
      </c>
      <c r="C1741" s="384">
        <v>9</v>
      </c>
      <c r="D1741" s="367" t="s">
        <v>5</v>
      </c>
      <c r="E1741" s="367" t="s">
        <v>6</v>
      </c>
      <c r="F1741" s="389" t="s">
        <v>2894</v>
      </c>
      <c r="G1741" s="385">
        <v>45717</v>
      </c>
      <c r="H1741" s="367" t="s">
        <v>13</v>
      </c>
      <c r="I1741" s="368" t="str">
        <f>VLOOKUP(H1741,'Source Codes'!A$2:B$115,2,FALSE)</f>
        <v>C-IV Voucher/Payments/EBT</v>
      </c>
      <c r="J1741" s="412">
        <v>-11823565.640000001</v>
      </c>
      <c r="K1741" s="385">
        <v>45720</v>
      </c>
      <c r="L1741" s="387" t="s">
        <v>2896</v>
      </c>
      <c r="M1741" s="390">
        <v>45720.497800925928</v>
      </c>
      <c r="N1741" s="367" t="s">
        <v>356</v>
      </c>
      <c r="O1741" s="368" t="s">
        <v>364</v>
      </c>
      <c r="P1741" s="367" t="str">
        <f>IF(J1741&gt;0,"Revenue",IF(J1741&lt;0,"Expense"))</f>
        <v>Expense</v>
      </c>
      <c r="Q1741" s="366" t="s">
        <v>2204</v>
      </c>
      <c r="R1741" s="393">
        <v>45689</v>
      </c>
      <c r="S1741" s="395">
        <v>530480</v>
      </c>
    </row>
    <row r="1742" spans="1:19" ht="15" hidden="1" outlineLevel="1">
      <c r="B1742" s="384">
        <v>2025</v>
      </c>
      <c r="C1742" s="384">
        <v>9</v>
      </c>
      <c r="D1742" s="367" t="s">
        <v>5</v>
      </c>
      <c r="E1742" s="367" t="s">
        <v>6</v>
      </c>
      <c r="F1742" s="389" t="s">
        <v>2895</v>
      </c>
      <c r="G1742" s="385">
        <v>45717</v>
      </c>
      <c r="H1742" s="367" t="s">
        <v>13</v>
      </c>
      <c r="I1742" s="368" t="str">
        <f>VLOOKUP(H1742,'Source Codes'!A$2:B$115,2,FALSE)</f>
        <v>C-IV Voucher/Payments/EBT</v>
      </c>
      <c r="J1742" s="412">
        <v>-17035320.289999999</v>
      </c>
      <c r="K1742" s="385">
        <v>45720</v>
      </c>
      <c r="L1742" s="387" t="s">
        <v>2897</v>
      </c>
      <c r="M1742" s="390">
        <v>45720.495185185187</v>
      </c>
      <c r="N1742" s="367" t="s">
        <v>356</v>
      </c>
      <c r="O1742" s="368" t="s">
        <v>364</v>
      </c>
      <c r="P1742" s="367" t="str">
        <f>IF(J1742&gt;0,"Revenue",IF(J1742&lt;0,"Expense"))</f>
        <v>Expense</v>
      </c>
      <c r="Q1742" s="366" t="s">
        <v>2204</v>
      </c>
      <c r="R1742" s="393">
        <v>45689</v>
      </c>
      <c r="S1742" s="395">
        <v>530480</v>
      </c>
    </row>
    <row r="1743" spans="1:19" ht="12.75" customHeight="1" collapsed="1">
      <c r="J1743" s="413">
        <f>SUM(J1740:J1742)</f>
        <v>-30768082.759999998</v>
      </c>
    </row>
    <row r="1745" spans="1:19" ht="12.75" customHeight="1">
      <c r="A1745" s="378" t="s">
        <v>2899</v>
      </c>
    </row>
    <row r="1746" spans="1:19" ht="75" hidden="1" outlineLevel="1">
      <c r="B1746" s="384">
        <v>2025</v>
      </c>
      <c r="C1746" s="384">
        <v>9</v>
      </c>
      <c r="D1746" s="367" t="s">
        <v>5</v>
      </c>
      <c r="E1746" s="367" t="s">
        <v>6</v>
      </c>
      <c r="F1746" s="389" t="s">
        <v>2900</v>
      </c>
      <c r="G1746" s="385">
        <v>45721</v>
      </c>
      <c r="H1746" s="367" t="s">
        <v>14</v>
      </c>
      <c r="I1746" s="368" t="str">
        <f>VLOOKUP(H1746,'Source Codes'!A$2:B$115,2,FALSE)</f>
        <v>AP Warrant Issuance</v>
      </c>
      <c r="J1746" s="412">
        <v>-8971833.5999999996</v>
      </c>
      <c r="K1746" s="385">
        <v>45721</v>
      </c>
      <c r="L1746" s="387" t="s">
        <v>3182</v>
      </c>
      <c r="M1746" s="390">
        <v>45721.79378472222</v>
      </c>
      <c r="N1746" s="367" t="s">
        <v>356</v>
      </c>
      <c r="O1746" s="368" t="s">
        <v>364</v>
      </c>
      <c r="P1746" s="367" t="str">
        <f t="shared" ref="P1746:P1751" si="16">IF(J1746&gt;0,"Revenue",IF(J1746&lt;0,"Expense"))</f>
        <v>Expense</v>
      </c>
      <c r="Q1746" s="366" t="s">
        <v>2748</v>
      </c>
      <c r="R1746" s="393">
        <v>45717</v>
      </c>
      <c r="S1746" s="395">
        <v>530440</v>
      </c>
    </row>
    <row r="1747" spans="1:19" ht="30" hidden="1" outlineLevel="1">
      <c r="B1747" s="384">
        <v>2025</v>
      </c>
      <c r="C1747" s="384">
        <v>9</v>
      </c>
      <c r="D1747" s="367" t="s">
        <v>5</v>
      </c>
      <c r="E1747" s="367" t="s">
        <v>6</v>
      </c>
      <c r="F1747" s="389" t="s">
        <v>2901</v>
      </c>
      <c r="G1747" s="385">
        <v>45723</v>
      </c>
      <c r="H1747" s="367" t="s">
        <v>14</v>
      </c>
      <c r="I1747" s="368" t="str">
        <f>VLOOKUP(H1747,'Source Codes'!A$2:B$115,2,FALSE)</f>
        <v>AP Warrant Issuance</v>
      </c>
      <c r="J1747" s="412">
        <v>-1431035.19</v>
      </c>
      <c r="K1747" s="385">
        <v>45721</v>
      </c>
      <c r="L1747" s="387" t="s">
        <v>2909</v>
      </c>
      <c r="M1747" s="390">
        <v>45721.79378472222</v>
      </c>
      <c r="N1747" s="367" t="s">
        <v>356</v>
      </c>
      <c r="O1747" s="368" t="s">
        <v>368</v>
      </c>
      <c r="P1747" s="367" t="str">
        <f t="shared" si="16"/>
        <v>Expense</v>
      </c>
      <c r="Q1747" s="366" t="s">
        <v>2154</v>
      </c>
      <c r="R1747" s="393" t="s">
        <v>2154</v>
      </c>
      <c r="S1747" s="395" t="s">
        <v>203</v>
      </c>
    </row>
    <row r="1748" spans="1:19" ht="60" hidden="1" outlineLevel="1">
      <c r="B1748" s="384">
        <v>2025</v>
      </c>
      <c r="C1748" s="384">
        <v>9</v>
      </c>
      <c r="D1748" s="367" t="s">
        <v>5</v>
      </c>
      <c r="E1748" s="367" t="s">
        <v>6</v>
      </c>
      <c r="F1748" s="389" t="s">
        <v>2902</v>
      </c>
      <c r="G1748" s="385">
        <v>45719</v>
      </c>
      <c r="H1748" s="367" t="s">
        <v>11</v>
      </c>
      <c r="I1748" s="368" t="str">
        <f>VLOOKUP(H1748,'Source Codes'!A$2:B$115,2,FALSE)</f>
        <v>AR Payments</v>
      </c>
      <c r="J1748" s="412">
        <v>2763874.41</v>
      </c>
      <c r="K1748" s="385">
        <v>45721</v>
      </c>
      <c r="L1748" s="387" t="s">
        <v>2910</v>
      </c>
      <c r="M1748" s="390">
        <v>45721.752256944441</v>
      </c>
      <c r="N1748" s="367" t="s">
        <v>356</v>
      </c>
      <c r="O1748" s="368" t="s">
        <v>357</v>
      </c>
      <c r="P1748" s="367" t="str">
        <f t="shared" si="16"/>
        <v>Revenue</v>
      </c>
      <c r="Q1748" s="366" t="s">
        <v>2157</v>
      </c>
      <c r="R1748" s="393" t="s">
        <v>2857</v>
      </c>
      <c r="S1748" s="395" t="s">
        <v>2911</v>
      </c>
    </row>
    <row r="1749" spans="1:19" ht="30" hidden="1" outlineLevel="1">
      <c r="B1749" s="384">
        <v>2025</v>
      </c>
      <c r="C1749" s="384">
        <v>8</v>
      </c>
      <c r="D1749" s="367" t="s">
        <v>5</v>
      </c>
      <c r="E1749" s="367" t="s">
        <v>6</v>
      </c>
      <c r="F1749" s="389" t="s">
        <v>2903</v>
      </c>
      <c r="G1749" s="385">
        <v>45712</v>
      </c>
      <c r="H1749" s="367" t="s">
        <v>9</v>
      </c>
      <c r="I1749" s="368" t="str">
        <f>VLOOKUP(H1749,'Source Codes'!A$2:B$115,2,FALSE)</f>
        <v>On Line Journal Entries</v>
      </c>
      <c r="J1749" s="412">
        <v>4090065.94</v>
      </c>
      <c r="K1749" s="385">
        <v>45721</v>
      </c>
      <c r="L1749" s="387" t="s">
        <v>2906</v>
      </c>
      <c r="M1749" s="390">
        <v>45721.468645833331</v>
      </c>
      <c r="N1749" s="367" t="s">
        <v>361</v>
      </c>
      <c r="O1749" s="368" t="s">
        <v>376</v>
      </c>
      <c r="P1749" s="367" t="str">
        <f t="shared" si="16"/>
        <v>Revenue</v>
      </c>
      <c r="Q1749" s="366" t="s">
        <v>2912</v>
      </c>
      <c r="R1749" s="393" t="s">
        <v>2913</v>
      </c>
      <c r="S1749" s="395" t="s">
        <v>2914</v>
      </c>
    </row>
    <row r="1750" spans="1:19" ht="30" hidden="1" outlineLevel="1">
      <c r="B1750" s="384">
        <v>2025</v>
      </c>
      <c r="C1750" s="384">
        <v>8</v>
      </c>
      <c r="D1750" s="367" t="s">
        <v>5</v>
      </c>
      <c r="E1750" s="367" t="s">
        <v>6</v>
      </c>
      <c r="F1750" s="389" t="s">
        <v>2904</v>
      </c>
      <c r="G1750" s="385">
        <v>45712</v>
      </c>
      <c r="H1750" s="367" t="s">
        <v>9</v>
      </c>
      <c r="I1750" s="368" t="str">
        <f>VLOOKUP(H1750,'Source Codes'!A$2:B$115,2,FALSE)</f>
        <v>On Line Journal Entries</v>
      </c>
      <c r="J1750" s="412">
        <v>2867717.24</v>
      </c>
      <c r="K1750" s="385">
        <v>45721</v>
      </c>
      <c r="L1750" s="387" t="s">
        <v>2907</v>
      </c>
      <c r="M1750" s="390">
        <v>45721.460787037038</v>
      </c>
      <c r="N1750" s="367" t="s">
        <v>507</v>
      </c>
      <c r="O1750" s="368" t="s">
        <v>376</v>
      </c>
      <c r="P1750" s="367" t="str">
        <f t="shared" si="16"/>
        <v>Revenue</v>
      </c>
      <c r="Q1750" s="366" t="s">
        <v>2915</v>
      </c>
      <c r="R1750" s="393" t="s">
        <v>2916</v>
      </c>
      <c r="S1750" s="395">
        <v>755180</v>
      </c>
    </row>
    <row r="1751" spans="1:19" ht="30" hidden="1" outlineLevel="1">
      <c r="B1751" s="384">
        <v>2025</v>
      </c>
      <c r="C1751" s="384">
        <v>8</v>
      </c>
      <c r="D1751" s="367" t="s">
        <v>5</v>
      </c>
      <c r="E1751" s="367" t="s">
        <v>6</v>
      </c>
      <c r="F1751" s="389" t="s">
        <v>2905</v>
      </c>
      <c r="G1751" s="385">
        <v>45708</v>
      </c>
      <c r="H1751" s="367" t="s">
        <v>9</v>
      </c>
      <c r="I1751" s="368" t="str">
        <f>VLOOKUP(H1751,'Source Codes'!A$2:B$115,2,FALSE)</f>
        <v>On Line Journal Entries</v>
      </c>
      <c r="J1751" s="412">
        <v>-1004189.88</v>
      </c>
      <c r="K1751" s="385">
        <v>45721</v>
      </c>
      <c r="L1751" s="387" t="s">
        <v>2908</v>
      </c>
      <c r="M1751" s="390">
        <v>45721.576458333337</v>
      </c>
      <c r="N1751" s="367" t="s">
        <v>356</v>
      </c>
      <c r="O1751" s="368" t="s">
        <v>368</v>
      </c>
      <c r="P1751" s="367" t="str">
        <f t="shared" si="16"/>
        <v>Expense</v>
      </c>
      <c r="Q1751" s="366" t="s">
        <v>2917</v>
      </c>
      <c r="R1751" s="393" t="s">
        <v>2917</v>
      </c>
      <c r="S1751" s="395">
        <v>525200</v>
      </c>
    </row>
    <row r="1752" spans="1:19" ht="12.75" customHeight="1" collapsed="1">
      <c r="J1752" s="413">
        <f>SUM(J1746:J1751)</f>
        <v>-1685401.0799999987</v>
      </c>
    </row>
    <row r="1754" spans="1:19" ht="12.75" customHeight="1">
      <c r="A1754" s="378" t="s">
        <v>2918</v>
      </c>
    </row>
    <row r="1755" spans="1:19" ht="75" hidden="1" outlineLevel="1">
      <c r="B1755" s="384">
        <v>2025</v>
      </c>
      <c r="C1755" s="384">
        <v>9</v>
      </c>
      <c r="D1755" s="367" t="s">
        <v>5</v>
      </c>
      <c r="E1755" s="367" t="s">
        <v>6</v>
      </c>
      <c r="F1755" s="389" t="s">
        <v>2919</v>
      </c>
      <c r="G1755" s="385">
        <v>45726</v>
      </c>
      <c r="H1755" s="367" t="s">
        <v>14</v>
      </c>
      <c r="I1755" s="368" t="str">
        <f>VLOOKUP(H1755,'Source Codes'!A$2:B$115,2,FALSE)</f>
        <v>AP Warrant Issuance</v>
      </c>
      <c r="J1755" s="412">
        <v>-5114156.12</v>
      </c>
      <c r="K1755" s="385">
        <v>45722</v>
      </c>
      <c r="L1755" s="387" t="s">
        <v>2925</v>
      </c>
      <c r="M1755" s="390">
        <v>45722.793935185182</v>
      </c>
      <c r="N1755" s="367" t="s">
        <v>356</v>
      </c>
      <c r="O1755" s="368" t="s">
        <v>364</v>
      </c>
      <c r="P1755" s="367" t="str">
        <f>IF(J1755&gt;0,"Revenue",IF(J1755&lt;0,"Expense"))</f>
        <v>Expense</v>
      </c>
      <c r="Q1755" s="366" t="s">
        <v>2254</v>
      </c>
      <c r="R1755" s="393">
        <v>45717</v>
      </c>
      <c r="S1755" s="395">
        <v>530440</v>
      </c>
    </row>
    <row r="1756" spans="1:19" ht="15" hidden="1" outlineLevel="1">
      <c r="B1756" s="384">
        <v>2025</v>
      </c>
      <c r="C1756" s="384">
        <v>9</v>
      </c>
      <c r="D1756" s="367" t="s">
        <v>5</v>
      </c>
      <c r="E1756" s="367" t="s">
        <v>6</v>
      </c>
      <c r="F1756" s="389" t="s">
        <v>2920</v>
      </c>
      <c r="G1756" s="385">
        <v>45721</v>
      </c>
      <c r="H1756" s="367" t="s">
        <v>7</v>
      </c>
      <c r="I1756" s="368" t="str">
        <f>VLOOKUP(H1756,'Source Codes'!A$2:B$115,2,FALSE)</f>
        <v>HRMS Interface Journals</v>
      </c>
      <c r="J1756" s="412">
        <v>-2534336.63</v>
      </c>
      <c r="K1756" s="385">
        <v>45722</v>
      </c>
      <c r="L1756" s="387" t="s">
        <v>409</v>
      </c>
      <c r="M1756" s="390">
        <v>45722.440949074073</v>
      </c>
      <c r="N1756" s="367" t="s">
        <v>378</v>
      </c>
      <c r="O1756" s="368" t="s">
        <v>379</v>
      </c>
      <c r="P1756" s="367" t="str">
        <f>IF(J1756&gt;0,"Revenue",IF(J1756&lt;0,"Expense"))</f>
        <v>Expense</v>
      </c>
      <c r="Q1756" s="366" t="s">
        <v>379</v>
      </c>
      <c r="R1756" s="393" t="s">
        <v>2832</v>
      </c>
      <c r="S1756" s="395">
        <v>513120</v>
      </c>
    </row>
    <row r="1757" spans="1:19" ht="15" hidden="1" outlineLevel="1">
      <c r="B1757" s="384">
        <v>2025</v>
      </c>
      <c r="C1757" s="384">
        <v>9</v>
      </c>
      <c r="D1757" s="367" t="s">
        <v>5</v>
      </c>
      <c r="E1757" s="367" t="s">
        <v>6</v>
      </c>
      <c r="F1757" s="389" t="s">
        <v>2921</v>
      </c>
      <c r="G1757" s="385">
        <v>45719</v>
      </c>
      <c r="H1757" s="367" t="s">
        <v>13</v>
      </c>
      <c r="I1757" s="368" t="str">
        <f>VLOOKUP(H1757,'Source Codes'!A$2:B$115,2,FALSE)</f>
        <v>C-IV Voucher/Payments/EBT</v>
      </c>
      <c r="J1757" s="412">
        <v>-9898770.6999999993</v>
      </c>
      <c r="K1757" s="385">
        <v>45722</v>
      </c>
      <c r="L1757" s="387" t="s">
        <v>408</v>
      </c>
      <c r="M1757" s="390">
        <v>45722.870046296295</v>
      </c>
      <c r="N1757" s="367" t="s">
        <v>356</v>
      </c>
      <c r="O1757" s="368" t="s">
        <v>364</v>
      </c>
      <c r="P1757" s="367" t="str">
        <f>IF(J1757&gt;0,"Revenue",IF(J1757&lt;0,"Expense"))</f>
        <v>Expense</v>
      </c>
      <c r="Q1757" s="366" t="s">
        <v>2204</v>
      </c>
      <c r="R1757" s="393">
        <v>45689</v>
      </c>
      <c r="S1757" s="395">
        <v>530480</v>
      </c>
    </row>
    <row r="1758" spans="1:19" ht="15" hidden="1" outlineLevel="1">
      <c r="B1758" s="384">
        <v>2025</v>
      </c>
      <c r="C1758" s="384">
        <v>9</v>
      </c>
      <c r="D1758" s="367" t="s">
        <v>5</v>
      </c>
      <c r="E1758" s="367" t="s">
        <v>6</v>
      </c>
      <c r="F1758" s="389" t="s">
        <v>2922</v>
      </c>
      <c r="G1758" s="385">
        <v>45721</v>
      </c>
      <c r="H1758" s="367" t="s">
        <v>7</v>
      </c>
      <c r="I1758" s="368" t="str">
        <f>VLOOKUP(H1758,'Source Codes'!A$2:B$115,2,FALSE)</f>
        <v>HRMS Interface Journals</v>
      </c>
      <c r="J1758" s="412">
        <v>-11469854.9</v>
      </c>
      <c r="K1758" s="385">
        <v>45722</v>
      </c>
      <c r="L1758" s="387" t="s">
        <v>407</v>
      </c>
      <c r="M1758" s="390">
        <v>45722.43644675926</v>
      </c>
      <c r="N1758" s="367" t="s">
        <v>378</v>
      </c>
      <c r="O1758" s="368" t="s">
        <v>379</v>
      </c>
      <c r="P1758" s="367" t="str">
        <f>IF(J1758&gt;0,"Revenue",IF(J1758&lt;0,"Expense"))</f>
        <v>Expense</v>
      </c>
      <c r="Q1758" s="366" t="s">
        <v>379</v>
      </c>
      <c r="R1758" s="393" t="s">
        <v>2832</v>
      </c>
      <c r="S1758" s="395" t="s">
        <v>203</v>
      </c>
    </row>
    <row r="1759" spans="1:19" ht="60" hidden="1" outlineLevel="1">
      <c r="B1759" s="384">
        <v>2025</v>
      </c>
      <c r="C1759" s="384">
        <v>8</v>
      </c>
      <c r="D1759" s="367" t="s">
        <v>5</v>
      </c>
      <c r="E1759" s="367" t="s">
        <v>6</v>
      </c>
      <c r="F1759" s="389" t="s">
        <v>2923</v>
      </c>
      <c r="G1759" s="385">
        <v>45689</v>
      </c>
      <c r="H1759" s="367" t="s">
        <v>9</v>
      </c>
      <c r="I1759" s="368" t="str">
        <f>VLOOKUP(H1759,'Source Codes'!A$2:B$115,2,FALSE)</f>
        <v>On Line Journal Entries</v>
      </c>
      <c r="J1759" s="412">
        <v>-21100000</v>
      </c>
      <c r="K1759" s="385">
        <v>45722</v>
      </c>
      <c r="L1759" s="387" t="s">
        <v>2924</v>
      </c>
      <c r="M1759" s="390">
        <v>45722.377916666665</v>
      </c>
      <c r="N1759" s="367" t="s">
        <v>387</v>
      </c>
      <c r="O1759" s="368" t="s">
        <v>532</v>
      </c>
      <c r="P1759" s="367" t="str">
        <f>IF(J1759&gt;0,"Revenue",IF(J1759&lt;0,"Expense"))</f>
        <v>Expense</v>
      </c>
      <c r="Q1759" s="366" t="s">
        <v>2926</v>
      </c>
      <c r="R1759" s="393" t="s">
        <v>2927</v>
      </c>
      <c r="S1759" s="395">
        <v>524920</v>
      </c>
    </row>
    <row r="1760" spans="1:19" ht="12.75" customHeight="1" collapsed="1">
      <c r="J1760" s="413">
        <f>SUM(J1755:J1759)</f>
        <v>-50117118.350000001</v>
      </c>
    </row>
    <row r="1762" spans="1:19" ht="12.75" customHeight="1">
      <c r="A1762" s="378" t="s">
        <v>2928</v>
      </c>
    </row>
    <row r="1763" spans="1:19" ht="30" hidden="1" outlineLevel="1">
      <c r="B1763" s="384">
        <v>2025</v>
      </c>
      <c r="C1763" s="384">
        <v>9</v>
      </c>
      <c r="D1763" s="367" t="s">
        <v>5</v>
      </c>
      <c r="E1763" s="367" t="s">
        <v>6</v>
      </c>
      <c r="F1763" s="389" t="s">
        <v>2929</v>
      </c>
      <c r="G1763" s="385">
        <v>45722</v>
      </c>
      <c r="H1763" s="367" t="s">
        <v>11</v>
      </c>
      <c r="I1763" s="368" t="str">
        <f>VLOOKUP(H1763,'Source Codes'!A$2:B$115,2,FALSE)</f>
        <v>AR Payments</v>
      </c>
      <c r="J1763" s="412">
        <v>3775864.6</v>
      </c>
      <c r="K1763" s="385">
        <v>45723</v>
      </c>
      <c r="L1763" s="387" t="s">
        <v>398</v>
      </c>
      <c r="M1763" s="390">
        <v>45723.752268518518</v>
      </c>
      <c r="N1763" s="367" t="s">
        <v>356</v>
      </c>
      <c r="O1763" s="368" t="s">
        <v>357</v>
      </c>
      <c r="P1763" s="367" t="str">
        <f>IF(J1763&gt;0,"Revenue",IF(J1763&lt;0,"Expense"))</f>
        <v>Revenue</v>
      </c>
      <c r="Q1763" s="366" t="s">
        <v>2157</v>
      </c>
      <c r="R1763" s="393" t="s">
        <v>2857</v>
      </c>
      <c r="S1763" s="395">
        <v>118501</v>
      </c>
    </row>
    <row r="1764" spans="1:19" ht="12.75" customHeight="1" collapsed="1">
      <c r="J1764" s="413">
        <f>SUM(J1763)</f>
        <v>3775864.6</v>
      </c>
    </row>
    <row r="1766" spans="1:19" ht="12.75" customHeight="1">
      <c r="A1766" s="378" t="s">
        <v>2930</v>
      </c>
    </row>
    <row r="1767" spans="1:19" ht="30" hidden="1" outlineLevel="1">
      <c r="B1767" s="384">
        <v>2025</v>
      </c>
      <c r="C1767" s="384">
        <v>9</v>
      </c>
      <c r="D1767" s="367" t="s">
        <v>5</v>
      </c>
      <c r="E1767" s="367" t="s">
        <v>6</v>
      </c>
      <c r="F1767" s="389" t="s">
        <v>2931</v>
      </c>
      <c r="G1767" s="385">
        <v>45726</v>
      </c>
      <c r="H1767" s="367" t="s">
        <v>14</v>
      </c>
      <c r="I1767" s="368" t="str">
        <f>VLOOKUP(H1767,'Source Codes'!A$2:B$115,2,FALSE)</f>
        <v>AP Warrant Issuance</v>
      </c>
      <c r="J1767" s="412">
        <v>-1017287.6800000001</v>
      </c>
      <c r="K1767" s="385">
        <v>45726</v>
      </c>
      <c r="L1767" s="387" t="s">
        <v>2934</v>
      </c>
      <c r="M1767" s="390">
        <v>45726.793530092589</v>
      </c>
      <c r="N1767" s="367" t="s">
        <v>356</v>
      </c>
      <c r="O1767" s="368" t="s">
        <v>368</v>
      </c>
      <c r="P1767" s="367" t="str">
        <f>IF(J1767&gt;0,"Revenue",IF(J1767&lt;0,"Expense"))</f>
        <v>Expense</v>
      </c>
      <c r="Q1767" s="366" t="s">
        <v>2154</v>
      </c>
      <c r="R1767" s="393" t="s">
        <v>2154</v>
      </c>
      <c r="S1767" s="395" t="s">
        <v>203</v>
      </c>
    </row>
    <row r="1768" spans="1:19" ht="15" hidden="1" outlineLevel="1">
      <c r="B1768" s="384">
        <v>2025</v>
      </c>
      <c r="C1768" s="384">
        <v>9</v>
      </c>
      <c r="D1768" s="367" t="s">
        <v>5</v>
      </c>
      <c r="E1768" s="367" t="s">
        <v>6</v>
      </c>
      <c r="F1768" s="389" t="s">
        <v>2932</v>
      </c>
      <c r="G1768" s="385">
        <v>45719</v>
      </c>
      <c r="H1768" s="367" t="s">
        <v>337</v>
      </c>
      <c r="I1768" s="368" t="str">
        <f>VLOOKUP(H1768,'Source Codes'!A$2:B$115,2,FALSE)</f>
        <v>Facilities Mngmnt Intfc Jrnls</v>
      </c>
      <c r="J1768" s="412">
        <v>-2388276.35</v>
      </c>
      <c r="K1768" s="385">
        <v>45726</v>
      </c>
      <c r="L1768" s="387" t="s">
        <v>2933</v>
      </c>
      <c r="M1768" s="390">
        <v>45726.870497685188</v>
      </c>
      <c r="N1768" s="367" t="s">
        <v>356</v>
      </c>
      <c r="O1768" s="368" t="s">
        <v>367</v>
      </c>
      <c r="P1768" s="367" t="str">
        <f>IF(J1768&gt;0,"Revenue",IF(J1768&lt;0,"Expense"))</f>
        <v>Expense</v>
      </c>
      <c r="Q1768" s="366" t="s">
        <v>2337</v>
      </c>
      <c r="R1768" s="393" t="s">
        <v>2935</v>
      </c>
      <c r="S1768" s="395">
        <v>522385</v>
      </c>
    </row>
    <row r="1769" spans="1:19" ht="12.75" customHeight="1" collapsed="1">
      <c r="J1769" s="413">
        <f>SUM(J1767:J1768)</f>
        <v>-3405564.0300000003</v>
      </c>
    </row>
    <row r="1771" spans="1:19" ht="12.75" customHeight="1">
      <c r="A1771" s="378" t="s">
        <v>2936</v>
      </c>
    </row>
    <row r="1772" spans="1:19" ht="30" hidden="1" outlineLevel="1">
      <c r="B1772" s="384">
        <v>2025</v>
      </c>
      <c r="C1772" s="384">
        <v>9</v>
      </c>
      <c r="D1772" s="367" t="s">
        <v>5</v>
      </c>
      <c r="E1772" s="367" t="s">
        <v>6</v>
      </c>
      <c r="F1772" s="389" t="s">
        <v>2937</v>
      </c>
      <c r="G1772" s="385">
        <v>45722</v>
      </c>
      <c r="H1772" s="367" t="s">
        <v>11</v>
      </c>
      <c r="I1772" s="368" t="str">
        <f>VLOOKUP(H1772,'Source Codes'!A$2:B$115,2,FALSE)</f>
        <v>AR Payments</v>
      </c>
      <c r="J1772" s="412">
        <v>1191247.26</v>
      </c>
      <c r="K1772" s="385">
        <v>45727</v>
      </c>
      <c r="L1772" s="387" t="s">
        <v>403</v>
      </c>
      <c r="M1772" s="390">
        <v>45727.752395833333</v>
      </c>
      <c r="N1772" s="367" t="s">
        <v>356</v>
      </c>
      <c r="O1772" s="368" t="s">
        <v>357</v>
      </c>
      <c r="P1772" s="367" t="str">
        <f>IF(J1772&gt;0,"Revenue",IF(J1772&lt;0,"Expense"))</f>
        <v>Revenue</v>
      </c>
      <c r="Q1772" s="366" t="s">
        <v>2157</v>
      </c>
      <c r="R1772" s="393" t="s">
        <v>2857</v>
      </c>
      <c r="S1772" s="395">
        <v>118501</v>
      </c>
    </row>
    <row r="1773" spans="1:19" ht="12.75" customHeight="1" collapsed="1">
      <c r="J1773" s="413">
        <f>SUM(J1772)</f>
        <v>1191247.26</v>
      </c>
    </row>
    <row r="1775" spans="1:19" ht="12.75" customHeight="1">
      <c r="A1775" s="378" t="s">
        <v>2938</v>
      </c>
    </row>
    <row r="1776" spans="1:19" ht="30" hidden="1" outlineLevel="1">
      <c r="B1776" s="384">
        <v>2025</v>
      </c>
      <c r="C1776" s="384">
        <v>9</v>
      </c>
      <c r="D1776" s="367" t="s">
        <v>5</v>
      </c>
      <c r="E1776" s="367" t="s">
        <v>6</v>
      </c>
      <c r="F1776" s="389" t="s">
        <v>2939</v>
      </c>
      <c r="G1776" s="385">
        <v>45722</v>
      </c>
      <c r="H1776" s="367" t="s">
        <v>11</v>
      </c>
      <c r="I1776" s="368" t="str">
        <f>VLOOKUP(H1776,'Source Codes'!A$2:B$115,2,FALSE)</f>
        <v>AR Payments</v>
      </c>
      <c r="J1776" s="412">
        <v>1196726.47</v>
      </c>
      <c r="K1776" s="385">
        <v>45728</v>
      </c>
      <c r="L1776" s="387" t="s">
        <v>403</v>
      </c>
      <c r="M1776" s="390">
        <v>45728.752233796295</v>
      </c>
      <c r="N1776" s="367" t="s">
        <v>356</v>
      </c>
      <c r="O1776" s="368" t="s">
        <v>357</v>
      </c>
      <c r="P1776" s="367" t="str">
        <f>IF(J1776&gt;0,"Revenue",IF(J1776&lt;0,"Expense"))</f>
        <v>Revenue</v>
      </c>
      <c r="Q1776" s="366" t="s">
        <v>2157</v>
      </c>
      <c r="R1776" s="393" t="s">
        <v>2857</v>
      </c>
      <c r="S1776" s="395">
        <v>118501</v>
      </c>
    </row>
    <row r="1777" spans="1:19" ht="30" hidden="1" outlineLevel="1">
      <c r="B1777" s="384">
        <v>2025</v>
      </c>
      <c r="C1777" s="384">
        <v>9</v>
      </c>
      <c r="D1777" s="367" t="s">
        <v>5</v>
      </c>
      <c r="E1777" s="367" t="s">
        <v>6</v>
      </c>
      <c r="F1777" s="389" t="s">
        <v>2940</v>
      </c>
      <c r="G1777" s="385">
        <v>45728</v>
      </c>
      <c r="H1777" s="367" t="s">
        <v>11</v>
      </c>
      <c r="I1777" s="368" t="str">
        <f>VLOOKUP(H1777,'Source Codes'!A$2:B$115,2,FALSE)</f>
        <v>AR Payments</v>
      </c>
      <c r="J1777" s="412">
        <v>1788297.64</v>
      </c>
      <c r="K1777" s="385">
        <v>45728</v>
      </c>
      <c r="L1777" s="387" t="s">
        <v>2944</v>
      </c>
      <c r="M1777" s="390">
        <v>45728.752233796295</v>
      </c>
      <c r="N1777" s="367" t="s">
        <v>356</v>
      </c>
      <c r="O1777" s="368" t="s">
        <v>362</v>
      </c>
      <c r="P1777" s="367" t="str">
        <f>IF(J1777&gt;0,"Revenue",IF(J1777&lt;0,"Expense"))</f>
        <v>Revenue</v>
      </c>
      <c r="Q1777" s="366" t="s">
        <v>2360</v>
      </c>
      <c r="R1777" s="393" t="s">
        <v>2715</v>
      </c>
      <c r="S1777" s="395" t="s">
        <v>2361</v>
      </c>
    </row>
    <row r="1778" spans="1:19" ht="30" hidden="1" outlineLevel="1">
      <c r="B1778" s="384">
        <v>2025</v>
      </c>
      <c r="C1778" s="384">
        <v>9</v>
      </c>
      <c r="D1778" s="367" t="s">
        <v>5</v>
      </c>
      <c r="E1778" s="367" t="s">
        <v>6</v>
      </c>
      <c r="F1778" s="389" t="s">
        <v>2941</v>
      </c>
      <c r="G1778" s="385">
        <v>45727</v>
      </c>
      <c r="H1778" s="367" t="s">
        <v>16</v>
      </c>
      <c r="I1778" s="368" t="str">
        <f>VLOOKUP(H1778,'Source Codes'!A$2:B$115,2,FALSE)</f>
        <v>Property Tax Interface</v>
      </c>
      <c r="J1778" s="412">
        <v>3083765.2</v>
      </c>
      <c r="K1778" s="385">
        <v>45728</v>
      </c>
      <c r="L1778" s="387" t="s">
        <v>2943</v>
      </c>
      <c r="M1778" s="390">
        <v>45728.606666666667</v>
      </c>
      <c r="N1778" s="367" t="s">
        <v>361</v>
      </c>
      <c r="O1778" s="368" t="s">
        <v>384</v>
      </c>
      <c r="P1778" s="367" t="str">
        <f>IF(J1778&gt;0,"Revenue",IF(J1778&lt;0,"Expense"))</f>
        <v>Revenue</v>
      </c>
      <c r="Q1778" s="366" t="s">
        <v>2946</v>
      </c>
      <c r="R1778" s="393" t="s">
        <v>2947</v>
      </c>
      <c r="S1778" s="395" t="s">
        <v>2948</v>
      </c>
    </row>
    <row r="1779" spans="1:19" ht="15" hidden="1" outlineLevel="1">
      <c r="B1779" s="384">
        <v>2025</v>
      </c>
      <c r="C1779" s="384">
        <v>9</v>
      </c>
      <c r="D1779" s="367" t="s">
        <v>5</v>
      </c>
      <c r="E1779" s="367" t="s">
        <v>6</v>
      </c>
      <c r="F1779" s="389" t="s">
        <v>2942</v>
      </c>
      <c r="G1779" s="385">
        <v>45721</v>
      </c>
      <c r="H1779" s="367" t="s">
        <v>7</v>
      </c>
      <c r="I1779" s="368" t="str">
        <f>VLOOKUP(H1779,'Source Codes'!A$2:B$115,2,FALSE)</f>
        <v>HRMS Interface Journals</v>
      </c>
      <c r="J1779" s="412">
        <v>-71522312.310000002</v>
      </c>
      <c r="K1779" s="385">
        <v>45728</v>
      </c>
      <c r="L1779" s="387" t="s">
        <v>406</v>
      </c>
      <c r="M1779" s="390">
        <v>45728.322337962964</v>
      </c>
      <c r="N1779" s="367" t="s">
        <v>378</v>
      </c>
      <c r="O1779" s="368" t="s">
        <v>371</v>
      </c>
      <c r="P1779" s="367" t="str">
        <f>IF(J1779&gt;0,"Revenue",IF(J1779&lt;0,"Expense"))</f>
        <v>Expense</v>
      </c>
      <c r="Q1779" s="366" t="s">
        <v>379</v>
      </c>
      <c r="R1779" s="393" t="s">
        <v>2832</v>
      </c>
      <c r="S1779" s="395" t="s">
        <v>203</v>
      </c>
    </row>
    <row r="1780" spans="1:19" ht="12.75" customHeight="1" collapsed="1">
      <c r="J1780" s="413">
        <f>SUM(J1776:J1779)</f>
        <v>-65453523</v>
      </c>
    </row>
    <row r="1782" spans="1:19" ht="12.75" customHeight="1">
      <c r="A1782" s="378" t="s">
        <v>2949</v>
      </c>
    </row>
    <row r="1783" spans="1:19" ht="30" hidden="1" outlineLevel="1">
      <c r="B1783" s="384">
        <v>2025</v>
      </c>
      <c r="C1783" s="384">
        <v>9</v>
      </c>
      <c r="D1783" s="367" t="s">
        <v>5</v>
      </c>
      <c r="E1783" s="367" t="s">
        <v>6</v>
      </c>
      <c r="F1783" s="389" t="s">
        <v>2950</v>
      </c>
      <c r="G1783" s="385">
        <v>45729</v>
      </c>
      <c r="H1783" s="367" t="s">
        <v>11</v>
      </c>
      <c r="I1783" s="368" t="str">
        <f>VLOOKUP(H1783,'Source Codes'!A$2:B$115,2,FALSE)</f>
        <v>AR Payments</v>
      </c>
      <c r="J1783" s="412">
        <v>3477716.87</v>
      </c>
      <c r="K1783" s="385">
        <v>45729</v>
      </c>
      <c r="L1783" s="387" t="s">
        <v>958</v>
      </c>
      <c r="M1783" s="390">
        <v>45729.752118055556</v>
      </c>
      <c r="N1783" s="367" t="s">
        <v>356</v>
      </c>
      <c r="O1783" s="368" t="s">
        <v>357</v>
      </c>
      <c r="P1783" s="367" t="str">
        <f>IF(J1783&gt;0,"Revenue",IF(J1783&lt;0,"Expense"))</f>
        <v>Revenue</v>
      </c>
      <c r="Q1783" s="366" t="s">
        <v>2157</v>
      </c>
      <c r="R1783" s="393" t="s">
        <v>2857</v>
      </c>
      <c r="S1783" s="395">
        <v>118501</v>
      </c>
    </row>
    <row r="1784" spans="1:19" ht="30" hidden="1" outlineLevel="1">
      <c r="B1784" s="384">
        <v>2025</v>
      </c>
      <c r="C1784" s="384">
        <v>9</v>
      </c>
      <c r="D1784" s="367" t="s">
        <v>5</v>
      </c>
      <c r="E1784" s="367" t="s">
        <v>6</v>
      </c>
      <c r="F1784" s="389" t="s">
        <v>2951</v>
      </c>
      <c r="G1784" s="385">
        <v>45726</v>
      </c>
      <c r="H1784" s="367" t="s">
        <v>9</v>
      </c>
      <c r="I1784" s="368" t="str">
        <f>VLOOKUP(H1784,'Source Codes'!A$2:B$115,2,FALSE)</f>
        <v>On Line Journal Entries</v>
      </c>
      <c r="J1784" s="412">
        <v>11787245.220000001</v>
      </c>
      <c r="K1784" s="385">
        <v>45729</v>
      </c>
      <c r="L1784" s="387" t="s">
        <v>1941</v>
      </c>
      <c r="M1784" s="390">
        <v>45729.87027777778</v>
      </c>
      <c r="N1784" s="367" t="s">
        <v>356</v>
      </c>
      <c r="O1784" s="368" t="s">
        <v>371</v>
      </c>
      <c r="P1784" s="367" t="str">
        <f>IF(J1784&gt;0,"Revenue",IF(J1784&lt;0,"Expense"))</f>
        <v>Revenue</v>
      </c>
      <c r="Q1784" s="366" t="s">
        <v>2176</v>
      </c>
      <c r="R1784" s="393" t="s">
        <v>2176</v>
      </c>
      <c r="S1784" s="395">
        <v>132600</v>
      </c>
    </row>
    <row r="1785" spans="1:19" ht="12.75" customHeight="1" collapsed="1">
      <c r="J1785" s="413">
        <f>SUM(J1783:J1784)</f>
        <v>15264962.09</v>
      </c>
    </row>
    <row r="1786" spans="1:19" ht="12.75" customHeight="1">
      <c r="A1786" s="378" t="s">
        <v>2952</v>
      </c>
    </row>
    <row r="1787" spans="1:19" ht="30" hidden="1" outlineLevel="1">
      <c r="B1787" s="384">
        <v>2025</v>
      </c>
      <c r="C1787" s="384">
        <v>9</v>
      </c>
      <c r="D1787" s="367" t="s">
        <v>5</v>
      </c>
      <c r="E1787" s="367" t="s">
        <v>6</v>
      </c>
      <c r="F1787" s="389" t="s">
        <v>2953</v>
      </c>
      <c r="G1787" s="385">
        <v>45720</v>
      </c>
      <c r="H1787" s="367" t="s">
        <v>12</v>
      </c>
      <c r="I1787" s="368" t="str">
        <f>VLOOKUP(H1787,'Source Codes'!A$2:B$115,2,FALSE)</f>
        <v>AR Direct Cash Journal</v>
      </c>
      <c r="J1787" s="412">
        <v>5861243.8899999997</v>
      </c>
      <c r="K1787" s="385">
        <v>45730</v>
      </c>
      <c r="L1787" s="387" t="s">
        <v>2957</v>
      </c>
      <c r="M1787" s="390">
        <v>45730.752187500002</v>
      </c>
      <c r="N1787" s="367" t="s">
        <v>356</v>
      </c>
      <c r="O1787" s="368" t="s">
        <v>368</v>
      </c>
      <c r="P1787" s="367" t="str">
        <f>IF(J1787&gt;0,"Revenue",IF(J1787&lt;0,"Expense"))</f>
        <v>Revenue</v>
      </c>
      <c r="Q1787" s="366" t="s">
        <v>2177</v>
      </c>
      <c r="R1787" s="393" t="s">
        <v>2214</v>
      </c>
      <c r="S1787" s="395" t="s">
        <v>203</v>
      </c>
    </row>
    <row r="1788" spans="1:19" ht="30" hidden="1" outlineLevel="1">
      <c r="B1788" s="384">
        <v>2025</v>
      </c>
      <c r="C1788" s="384">
        <v>9</v>
      </c>
      <c r="D1788" s="367" t="s">
        <v>5</v>
      </c>
      <c r="E1788" s="367" t="s">
        <v>6</v>
      </c>
      <c r="F1788" s="389" t="s">
        <v>2954</v>
      </c>
      <c r="G1788" s="385">
        <v>45730</v>
      </c>
      <c r="H1788" s="367" t="s">
        <v>11</v>
      </c>
      <c r="I1788" s="368" t="str">
        <f>VLOOKUP(H1788,'Source Codes'!A$2:B$115,2,FALSE)</f>
        <v>AR Payments</v>
      </c>
      <c r="J1788" s="412">
        <v>1036941.48</v>
      </c>
      <c r="K1788" s="385">
        <v>45730</v>
      </c>
      <c r="L1788" s="387" t="s">
        <v>2958</v>
      </c>
      <c r="M1788" s="390">
        <v>45730.752187500002</v>
      </c>
      <c r="N1788" s="367" t="s">
        <v>361</v>
      </c>
      <c r="O1788" s="368" t="s">
        <v>362</v>
      </c>
      <c r="P1788" s="367" t="str">
        <f>IF(J1788&gt;0,"Revenue",IF(J1788&lt;0,"Expense"))</f>
        <v>Revenue</v>
      </c>
      <c r="Q1788" s="366" t="s">
        <v>2360</v>
      </c>
      <c r="R1788" s="393" t="s">
        <v>2362</v>
      </c>
      <c r="S1788" s="395">
        <v>118301</v>
      </c>
    </row>
    <row r="1789" spans="1:19" ht="15" hidden="1" outlineLevel="1">
      <c r="B1789" s="384">
        <v>2025</v>
      </c>
      <c r="C1789" s="384">
        <v>9</v>
      </c>
      <c r="D1789" s="367" t="s">
        <v>5</v>
      </c>
      <c r="E1789" s="367" t="s">
        <v>6</v>
      </c>
      <c r="F1789" s="389" t="s">
        <v>2955</v>
      </c>
      <c r="G1789" s="385">
        <v>45729</v>
      </c>
      <c r="H1789" s="367" t="s">
        <v>8</v>
      </c>
      <c r="I1789" s="368" t="str">
        <f>VLOOKUP(H1789,'Source Codes'!A$2:B$115,2,FALSE)</f>
        <v>Prch,Cntrl Mail,Flt,Prntg,Sply</v>
      </c>
      <c r="J1789" s="412">
        <v>-1573267.71</v>
      </c>
      <c r="K1789" s="385">
        <v>45730</v>
      </c>
      <c r="L1789" s="387" t="s">
        <v>2956</v>
      </c>
      <c r="M1789" s="390">
        <v>45730.63957175926</v>
      </c>
      <c r="N1789" s="367" t="s">
        <v>356</v>
      </c>
      <c r="O1789" s="368" t="s">
        <v>382</v>
      </c>
      <c r="P1789" s="367" t="str">
        <f>IF(J1789&gt;0,"Revenue",IF(J1789&lt;0,"Expense"))</f>
        <v>Expense</v>
      </c>
      <c r="Q1789" s="366" t="s">
        <v>2328</v>
      </c>
      <c r="R1789" s="393" t="s">
        <v>2959</v>
      </c>
      <c r="S1789" s="395" t="s">
        <v>2535</v>
      </c>
    </row>
    <row r="1790" spans="1:19" ht="12.75" customHeight="1" collapsed="1">
      <c r="J1790" s="413">
        <f>SUM(J1787:J1789)</f>
        <v>5324917.6599999992</v>
      </c>
    </row>
    <row r="1792" spans="1:19" ht="12.75" customHeight="1">
      <c r="A1792" s="378" t="s">
        <v>2960</v>
      </c>
    </row>
    <row r="1793" spans="1:19" ht="60" hidden="1" outlineLevel="1">
      <c r="B1793" s="384">
        <v>2025</v>
      </c>
      <c r="C1793" s="384">
        <v>9</v>
      </c>
      <c r="D1793" s="367" t="s">
        <v>5</v>
      </c>
      <c r="E1793" s="367" t="s">
        <v>6</v>
      </c>
      <c r="F1793" s="389" t="s">
        <v>2961</v>
      </c>
      <c r="G1793" s="385">
        <v>45733</v>
      </c>
      <c r="H1793" s="367" t="s">
        <v>14</v>
      </c>
      <c r="I1793" s="368" t="str">
        <f>VLOOKUP(H1793,'Source Codes'!A$2:B$115,2,FALSE)</f>
        <v>AP Warrant Issuance</v>
      </c>
      <c r="J1793" s="412">
        <v>-7124083.6299999999</v>
      </c>
      <c r="K1793" s="385">
        <v>45733</v>
      </c>
      <c r="L1793" s="387" t="s">
        <v>2963</v>
      </c>
      <c r="M1793" s="390">
        <v>45733.793541666666</v>
      </c>
      <c r="N1793" s="367" t="s">
        <v>361</v>
      </c>
      <c r="O1793" s="368" t="s">
        <v>358</v>
      </c>
      <c r="P1793" s="367" t="str">
        <f>IF(J1793&gt;0,"Revenue",IF(J1793&lt;0,"Expense"))</f>
        <v>Expense</v>
      </c>
      <c r="Q1793" s="366" t="s">
        <v>2964</v>
      </c>
      <c r="R1793" s="393" t="s">
        <v>2967</v>
      </c>
      <c r="S1793" s="395">
        <v>201400</v>
      </c>
    </row>
    <row r="1794" spans="1:19" ht="30" hidden="1" outlineLevel="1">
      <c r="B1794" s="384">
        <v>2025</v>
      </c>
      <c r="C1794" s="384">
        <v>9</v>
      </c>
      <c r="D1794" s="367" t="s">
        <v>5</v>
      </c>
      <c r="E1794" s="367" t="s">
        <v>6</v>
      </c>
      <c r="F1794" s="389" t="s">
        <v>2962</v>
      </c>
      <c r="G1794" s="385">
        <v>45722</v>
      </c>
      <c r="H1794" s="367" t="s">
        <v>12</v>
      </c>
      <c r="I1794" s="368" t="str">
        <f>VLOOKUP(H1794,'Source Codes'!A$2:B$115,2,FALSE)</f>
        <v>AR Direct Cash Journal</v>
      </c>
      <c r="J1794" s="412">
        <v>2464306.5299999998</v>
      </c>
      <c r="K1794" s="385">
        <v>45733</v>
      </c>
      <c r="L1794" s="387" t="s">
        <v>2965</v>
      </c>
      <c r="M1794" s="390">
        <v>45733.751909722225</v>
      </c>
      <c r="N1794" s="367" t="s">
        <v>356</v>
      </c>
      <c r="O1794" s="368" t="s">
        <v>368</v>
      </c>
      <c r="P1794" s="367" t="str">
        <f>IF(J1794&gt;0,"Revenue",IF(J1794&lt;0,"Expense"))</f>
        <v>Revenue</v>
      </c>
      <c r="Q1794" s="366" t="s">
        <v>2177</v>
      </c>
      <c r="R1794" s="366" t="s">
        <v>2214</v>
      </c>
      <c r="S1794" s="366" t="s">
        <v>2348</v>
      </c>
    </row>
    <row r="1795" spans="1:19" ht="45" hidden="1" outlineLevel="1">
      <c r="B1795" s="384">
        <v>2025</v>
      </c>
      <c r="C1795" s="384">
        <v>9</v>
      </c>
      <c r="D1795" s="367" t="s">
        <v>5</v>
      </c>
      <c r="E1795" s="367" t="s">
        <v>6</v>
      </c>
      <c r="F1795" s="389" t="s">
        <v>2968</v>
      </c>
      <c r="G1795" s="385">
        <v>45728</v>
      </c>
      <c r="H1795" s="367" t="s">
        <v>12</v>
      </c>
      <c r="I1795" s="368" t="str">
        <f>VLOOKUP(H1795,'Source Codes'!A$2:B$115,2,FALSE)</f>
        <v>AR Direct Cash Journal</v>
      </c>
      <c r="J1795" s="412">
        <v>23124960.640000001</v>
      </c>
      <c r="K1795" s="385">
        <v>45733</v>
      </c>
      <c r="L1795" s="387" t="s">
        <v>2966</v>
      </c>
      <c r="M1795" s="390">
        <v>45733.751909722225</v>
      </c>
      <c r="N1795" s="367" t="s">
        <v>356</v>
      </c>
      <c r="O1795" s="368" t="s">
        <v>368</v>
      </c>
      <c r="P1795" s="367" t="str">
        <f>IF(J1795&gt;0,"Revenue",IF(J1795&lt;0,"Expense"))</f>
        <v>Revenue</v>
      </c>
      <c r="Q1795" s="366" t="s">
        <v>2177</v>
      </c>
      <c r="R1795" s="366" t="s">
        <v>2214</v>
      </c>
      <c r="S1795" s="366" t="s">
        <v>2348</v>
      </c>
    </row>
    <row r="1796" spans="1:19" ht="12.75" customHeight="1" collapsed="1">
      <c r="J1796" s="413">
        <f>SUM(J1793:J1795)</f>
        <v>18465183.539999999</v>
      </c>
    </row>
    <row r="1798" spans="1:19" ht="12.75" customHeight="1">
      <c r="A1798" s="378" t="s">
        <v>2969</v>
      </c>
    </row>
    <row r="1799" spans="1:19" ht="30" hidden="1" outlineLevel="1">
      <c r="B1799" s="384">
        <v>2025</v>
      </c>
      <c r="C1799" s="384">
        <v>9</v>
      </c>
      <c r="D1799" s="367" t="s">
        <v>5</v>
      </c>
      <c r="E1799" s="367" t="s">
        <v>6</v>
      </c>
      <c r="F1799" s="389" t="s">
        <v>2970</v>
      </c>
      <c r="G1799" s="385">
        <v>45734</v>
      </c>
      <c r="H1799" s="367" t="s">
        <v>12</v>
      </c>
      <c r="I1799" s="368" t="str">
        <f>VLOOKUP(H1799,'Source Codes'!A$2:B$115,2,FALSE)</f>
        <v>AR Direct Cash Journal</v>
      </c>
      <c r="J1799" s="412">
        <v>1000000</v>
      </c>
      <c r="K1799" s="385">
        <v>45734</v>
      </c>
      <c r="L1799" s="387" t="s">
        <v>2977</v>
      </c>
      <c r="M1799" s="390">
        <v>45734.752164351848</v>
      </c>
      <c r="N1799" s="367" t="s">
        <v>387</v>
      </c>
      <c r="O1799" s="368" t="s">
        <v>504</v>
      </c>
      <c r="P1799" s="367" t="str">
        <f>IF(J1799&gt;0,"Revenue",IF(J1799&lt;0,"Expense"))</f>
        <v>Revenue</v>
      </c>
      <c r="Q1799" s="366" t="s">
        <v>2973</v>
      </c>
      <c r="R1799" s="393" t="s">
        <v>2974</v>
      </c>
      <c r="S1799" s="395">
        <v>260106</v>
      </c>
    </row>
    <row r="1800" spans="1:19" ht="30" hidden="1" outlineLevel="1">
      <c r="B1800" s="384">
        <v>2025</v>
      </c>
      <c r="C1800" s="384">
        <v>9</v>
      </c>
      <c r="D1800" s="367" t="s">
        <v>5</v>
      </c>
      <c r="E1800" s="367" t="s">
        <v>6</v>
      </c>
      <c r="F1800" s="389" t="s">
        <v>2971</v>
      </c>
      <c r="G1800" s="385">
        <v>45733</v>
      </c>
      <c r="H1800" s="367" t="s">
        <v>9</v>
      </c>
      <c r="I1800" s="368" t="str">
        <f>VLOOKUP(H1800,'Source Codes'!A$2:B$115,2,FALSE)</f>
        <v>On Line Journal Entries</v>
      </c>
      <c r="J1800" s="412">
        <v>8298488</v>
      </c>
      <c r="K1800" s="385">
        <v>45734</v>
      </c>
      <c r="L1800" s="387" t="s">
        <v>2972</v>
      </c>
      <c r="M1800" s="390">
        <v>45734.562071759261</v>
      </c>
      <c r="N1800" s="367" t="s">
        <v>356</v>
      </c>
      <c r="O1800" s="368" t="s">
        <v>369</v>
      </c>
      <c r="P1800" s="367" t="str">
        <f>IF(J1800&gt;0,"Revenue",IF(J1800&lt;0,"Expense"))</f>
        <v>Revenue</v>
      </c>
      <c r="Q1800" s="366" t="s">
        <v>2268</v>
      </c>
      <c r="R1800" s="393">
        <v>45717</v>
      </c>
      <c r="S1800" s="395" t="s">
        <v>2534</v>
      </c>
    </row>
    <row r="1801" spans="1:19" ht="12.75" customHeight="1" collapsed="1">
      <c r="J1801" s="413">
        <f>SUM(J1799:J1800)</f>
        <v>9298488</v>
      </c>
    </row>
    <row r="1803" spans="1:19" ht="12.75" customHeight="1">
      <c r="A1803" s="378" t="s">
        <v>2978</v>
      </c>
    </row>
    <row r="1804" spans="1:19" ht="30" hidden="1" outlineLevel="1">
      <c r="B1804" s="384">
        <v>2025</v>
      </c>
      <c r="C1804" s="384">
        <v>9</v>
      </c>
      <c r="D1804" s="367" t="s">
        <v>5</v>
      </c>
      <c r="E1804" s="367" t="s">
        <v>6</v>
      </c>
      <c r="F1804" s="389" t="s">
        <v>2979</v>
      </c>
      <c r="G1804" s="385">
        <v>45730</v>
      </c>
      <c r="H1804" s="367" t="s">
        <v>12</v>
      </c>
      <c r="I1804" s="368" t="str">
        <f>VLOOKUP(H1804,'Source Codes'!A$2:B$115,2,FALSE)</f>
        <v>AR Direct Cash Journal</v>
      </c>
      <c r="J1804" s="412">
        <v>4252160.59</v>
      </c>
      <c r="K1804" s="385">
        <v>45735</v>
      </c>
      <c r="L1804" s="387" t="s">
        <v>2980</v>
      </c>
      <c r="M1804" s="390">
        <v>45735.752187500002</v>
      </c>
      <c r="N1804" s="367" t="s">
        <v>356</v>
      </c>
      <c r="O1804" s="368" t="s">
        <v>370</v>
      </c>
      <c r="P1804" s="367" t="str">
        <f>IF(J1804&gt;0,"Revenue",IF(J1804&lt;0,"Expense"))</f>
        <v>Revenue</v>
      </c>
      <c r="Q1804" s="366" t="s">
        <v>2264</v>
      </c>
      <c r="R1804" s="393" t="s">
        <v>2265</v>
      </c>
      <c r="S1804" s="395" t="s">
        <v>2981</v>
      </c>
    </row>
    <row r="1805" spans="1:19" ht="12.75" customHeight="1" collapsed="1">
      <c r="J1805" s="413">
        <f>SUM(J1804)</f>
        <v>4252160.59</v>
      </c>
    </row>
    <row r="1807" spans="1:19" ht="12.75" customHeight="1">
      <c r="A1807" s="378" t="s">
        <v>2983</v>
      </c>
    </row>
    <row r="1808" spans="1:19" ht="30" hidden="1" outlineLevel="1">
      <c r="B1808" s="384">
        <v>2025</v>
      </c>
      <c r="C1808" s="384">
        <v>9</v>
      </c>
      <c r="D1808" s="367" t="s">
        <v>5</v>
      </c>
      <c r="E1808" s="367" t="s">
        <v>6</v>
      </c>
      <c r="F1808" s="389" t="s">
        <v>2984</v>
      </c>
      <c r="G1808" s="385">
        <v>45734</v>
      </c>
      <c r="H1808" s="367" t="s">
        <v>12</v>
      </c>
      <c r="I1808" s="368" t="str">
        <f>VLOOKUP(H1808,'Source Codes'!A$2:B$115,2,FALSE)</f>
        <v>AR Direct Cash Journal</v>
      </c>
      <c r="J1808" s="412">
        <v>1170726.04</v>
      </c>
      <c r="K1808" s="385">
        <v>45736</v>
      </c>
      <c r="L1808" s="387" t="s">
        <v>2989</v>
      </c>
      <c r="M1808" s="390">
        <v>45736.752060185187</v>
      </c>
      <c r="N1808" s="367" t="s">
        <v>356</v>
      </c>
      <c r="O1808" s="368" t="s">
        <v>370</v>
      </c>
      <c r="P1808" s="367" t="str">
        <f>IF(J1808&gt;0,"Revenue",IF(J1808&lt;0,"Expense"))</f>
        <v>Revenue</v>
      </c>
      <c r="Q1808" s="366" t="s">
        <v>2264</v>
      </c>
      <c r="R1808" s="393" t="s">
        <v>2265</v>
      </c>
      <c r="S1808" s="395" t="s">
        <v>2988</v>
      </c>
    </row>
    <row r="1809" spans="1:19" ht="30" hidden="1" outlineLevel="1">
      <c r="B1809" s="384">
        <v>2025</v>
      </c>
      <c r="C1809" s="384">
        <v>9</v>
      </c>
      <c r="D1809" s="367" t="s">
        <v>5</v>
      </c>
      <c r="E1809" s="367" t="s">
        <v>6</v>
      </c>
      <c r="F1809" s="389" t="s">
        <v>2985</v>
      </c>
      <c r="G1809" s="385">
        <v>45735</v>
      </c>
      <c r="H1809" s="367" t="s">
        <v>11</v>
      </c>
      <c r="I1809" s="368" t="str">
        <f>VLOOKUP(H1809,'Source Codes'!A$2:B$115,2,FALSE)</f>
        <v>AR Payments</v>
      </c>
      <c r="J1809" s="412">
        <v>1767155.47</v>
      </c>
      <c r="K1809" s="385">
        <v>45736</v>
      </c>
      <c r="L1809" s="387" t="s">
        <v>2057</v>
      </c>
      <c r="M1809" s="390">
        <v>45736.752060185187</v>
      </c>
      <c r="N1809" s="367" t="s">
        <v>356</v>
      </c>
      <c r="O1809" s="368" t="s">
        <v>357</v>
      </c>
      <c r="P1809" s="367" t="str">
        <f>IF(J1809&gt;0,"Revenue",IF(J1809&lt;0,"Expense"))</f>
        <v>Revenue</v>
      </c>
      <c r="Q1809" s="366" t="s">
        <v>2157</v>
      </c>
      <c r="R1809" s="393" t="s">
        <v>2857</v>
      </c>
      <c r="S1809" s="395" t="s">
        <v>203</v>
      </c>
    </row>
    <row r="1810" spans="1:19" ht="15" hidden="1" outlineLevel="1">
      <c r="B1810" s="384">
        <v>2025</v>
      </c>
      <c r="C1810" s="384">
        <v>9</v>
      </c>
      <c r="D1810" s="367" t="s">
        <v>5</v>
      </c>
      <c r="E1810" s="367" t="s">
        <v>6</v>
      </c>
      <c r="F1810" s="389" t="s">
        <v>2986</v>
      </c>
      <c r="G1810" s="385">
        <v>45736</v>
      </c>
      <c r="H1810" s="367" t="s">
        <v>7</v>
      </c>
      <c r="I1810" s="368" t="str">
        <f>VLOOKUP(H1810,'Source Codes'!A$2:B$115,2,FALSE)</f>
        <v>HRMS Interface Journals</v>
      </c>
      <c r="J1810" s="412">
        <v>-1148207.22</v>
      </c>
      <c r="K1810" s="385">
        <v>45736</v>
      </c>
      <c r="L1810" s="387" t="s">
        <v>406</v>
      </c>
      <c r="M1810" s="390">
        <v>45736.506099537037</v>
      </c>
      <c r="N1810" s="367" t="s">
        <v>378</v>
      </c>
      <c r="O1810" s="368" t="s">
        <v>371</v>
      </c>
      <c r="P1810" s="367" t="str">
        <f>IF(J1810&gt;0,"Revenue",IF(J1810&lt;0,"Expense"))</f>
        <v>Expense</v>
      </c>
      <c r="Q1810" s="366" t="s">
        <v>379</v>
      </c>
      <c r="R1810" s="393" t="s">
        <v>2990</v>
      </c>
      <c r="S1810" s="395">
        <v>510200</v>
      </c>
    </row>
    <row r="1811" spans="1:19" ht="15" hidden="1" outlineLevel="1">
      <c r="B1811" s="384">
        <v>2025</v>
      </c>
      <c r="C1811" s="384">
        <v>9</v>
      </c>
      <c r="D1811" s="367" t="s">
        <v>5</v>
      </c>
      <c r="E1811" s="367" t="s">
        <v>6</v>
      </c>
      <c r="F1811" s="389" t="s">
        <v>2987</v>
      </c>
      <c r="G1811" s="385">
        <v>45735</v>
      </c>
      <c r="H1811" s="367" t="s">
        <v>7</v>
      </c>
      <c r="I1811" s="368" t="str">
        <f>VLOOKUP(H1811,'Source Codes'!A$2:B$115,2,FALSE)</f>
        <v>HRMS Interface Journals</v>
      </c>
      <c r="J1811" s="412">
        <v>-2527780.42</v>
      </c>
      <c r="K1811" s="385">
        <v>45736</v>
      </c>
      <c r="L1811" s="387" t="s">
        <v>409</v>
      </c>
      <c r="M1811" s="390">
        <v>45736.439120370371</v>
      </c>
      <c r="N1811" s="367" t="s">
        <v>378</v>
      </c>
      <c r="O1811" s="368" t="s">
        <v>379</v>
      </c>
      <c r="P1811" s="367" t="str">
        <f>IF(J1811&gt;0,"Revenue",IF(J1811&lt;0,"Expense"))</f>
        <v>Expense</v>
      </c>
      <c r="Q1811" s="366" t="s">
        <v>379</v>
      </c>
      <c r="R1811" s="393" t="s">
        <v>2990</v>
      </c>
      <c r="S1811" s="395">
        <v>513120</v>
      </c>
    </row>
    <row r="1812" spans="1:19" ht="12.75" customHeight="1" collapsed="1">
      <c r="J1812" s="413">
        <f>SUM(J1808:J1811)</f>
        <v>-738106.13000000012</v>
      </c>
    </row>
    <row r="1814" spans="1:19" ht="12.75" customHeight="1">
      <c r="A1814" s="378" t="s">
        <v>2991</v>
      </c>
    </row>
    <row r="1815" spans="1:19" ht="30" hidden="1" outlineLevel="1">
      <c r="B1815" s="384">
        <v>2025</v>
      </c>
      <c r="C1815" s="384">
        <v>9</v>
      </c>
      <c r="D1815" s="367" t="s">
        <v>5</v>
      </c>
      <c r="E1815" s="367" t="s">
        <v>6</v>
      </c>
      <c r="F1815" s="389" t="s">
        <v>2992</v>
      </c>
      <c r="G1815" s="385">
        <v>45741</v>
      </c>
      <c r="H1815" s="367" t="s">
        <v>14</v>
      </c>
      <c r="I1815" s="368" t="str">
        <f>VLOOKUP(H1815,'Source Codes'!A$2:B$115,2,FALSE)</f>
        <v>AP Warrant Issuance</v>
      </c>
      <c r="J1815" s="412">
        <v>-2612144.23</v>
      </c>
      <c r="K1815" s="385">
        <v>45737</v>
      </c>
      <c r="L1815" s="387" t="s">
        <v>2996</v>
      </c>
      <c r="M1815" s="390">
        <v>45737.793807870374</v>
      </c>
      <c r="N1815" s="367" t="s">
        <v>356</v>
      </c>
      <c r="O1815" s="368" t="s">
        <v>368</v>
      </c>
      <c r="P1815" s="367" t="str">
        <f>IF(J1815&gt;0,"Revenue",IF(J1815&lt;0,"Expense"))</f>
        <v>Expense</v>
      </c>
      <c r="Q1815" s="366" t="s">
        <v>2154</v>
      </c>
      <c r="R1815" s="393" t="s">
        <v>2154</v>
      </c>
      <c r="S1815" s="395" t="s">
        <v>203</v>
      </c>
    </row>
    <row r="1816" spans="1:19" ht="30" hidden="1" outlineLevel="1">
      <c r="B1816" s="384">
        <v>2025</v>
      </c>
      <c r="C1816" s="384">
        <v>9</v>
      </c>
      <c r="D1816" s="367" t="s">
        <v>5</v>
      </c>
      <c r="E1816" s="367" t="s">
        <v>6</v>
      </c>
      <c r="F1816" s="389" t="s">
        <v>2993</v>
      </c>
      <c r="G1816" s="385">
        <v>45737</v>
      </c>
      <c r="H1816" s="367" t="s">
        <v>14</v>
      </c>
      <c r="I1816" s="368" t="str">
        <f>VLOOKUP(H1816,'Source Codes'!A$2:B$115,2,FALSE)</f>
        <v>AP Warrant Issuance</v>
      </c>
      <c r="J1816" s="412">
        <v>-2131362.2000000002</v>
      </c>
      <c r="K1816" s="385">
        <v>45737</v>
      </c>
      <c r="L1816" s="387" t="s">
        <v>2997</v>
      </c>
      <c r="M1816" s="390">
        <v>45737.793807870374</v>
      </c>
      <c r="N1816" s="367" t="s">
        <v>356</v>
      </c>
      <c r="O1816" s="368" t="s">
        <v>368</v>
      </c>
      <c r="P1816" s="367" t="str">
        <f>IF(J1816&gt;0,"Revenue",IF(J1816&lt;0,"Expense"))</f>
        <v>Expense</v>
      </c>
      <c r="Q1816" s="366" t="s">
        <v>2154</v>
      </c>
      <c r="R1816" s="393" t="s">
        <v>2154</v>
      </c>
      <c r="S1816" s="395" t="s">
        <v>203</v>
      </c>
    </row>
    <row r="1817" spans="1:19" ht="45" hidden="1" outlineLevel="1">
      <c r="B1817" s="384">
        <v>2025</v>
      </c>
      <c r="C1817" s="384">
        <v>9</v>
      </c>
      <c r="D1817" s="367" t="s">
        <v>5</v>
      </c>
      <c r="E1817" s="367" t="s">
        <v>6</v>
      </c>
      <c r="F1817" s="389" t="s">
        <v>2994</v>
      </c>
      <c r="G1817" s="385">
        <v>45737</v>
      </c>
      <c r="H1817" s="367" t="s">
        <v>12</v>
      </c>
      <c r="I1817" s="368" t="str">
        <f>VLOOKUP(H1817,'Source Codes'!A$2:B$115,2,FALSE)</f>
        <v>AR Direct Cash Journal</v>
      </c>
      <c r="J1817" s="412">
        <v>3251471.79</v>
      </c>
      <c r="K1817" s="385">
        <v>45737</v>
      </c>
      <c r="L1817" s="387" t="s">
        <v>2998</v>
      </c>
      <c r="M1817" s="390">
        <v>45737.752187500002</v>
      </c>
      <c r="N1817" s="367" t="s">
        <v>356</v>
      </c>
      <c r="O1817" s="368" t="s">
        <v>371</v>
      </c>
      <c r="P1817" s="367" t="str">
        <f>IF(J1817&gt;0,"Revenue",IF(J1817&lt;0,"Expense"))</f>
        <v>Revenue</v>
      </c>
      <c r="Q1817" s="366" t="s">
        <v>2316</v>
      </c>
      <c r="R1817" s="393" t="s">
        <v>2399</v>
      </c>
      <c r="S1817" s="395">
        <v>710020</v>
      </c>
    </row>
    <row r="1818" spans="1:19" ht="30" hidden="1" outlineLevel="1">
      <c r="B1818" s="384">
        <v>2025</v>
      </c>
      <c r="C1818" s="384">
        <v>9</v>
      </c>
      <c r="D1818" s="367" t="s">
        <v>5</v>
      </c>
      <c r="E1818" s="367" t="s">
        <v>6</v>
      </c>
      <c r="F1818" s="389" t="s">
        <v>2995</v>
      </c>
      <c r="G1818" s="385">
        <v>45728</v>
      </c>
      <c r="H1818" s="367" t="s">
        <v>11</v>
      </c>
      <c r="I1818" s="368" t="str">
        <f>VLOOKUP(H1818,'Source Codes'!A$2:B$115,2,FALSE)</f>
        <v>AR Payments</v>
      </c>
      <c r="J1818" s="412">
        <v>5819281.1500000004</v>
      </c>
      <c r="K1818" s="385">
        <v>45737</v>
      </c>
      <c r="L1818" s="387" t="s">
        <v>397</v>
      </c>
      <c r="M1818" s="390">
        <v>45737.752187500002</v>
      </c>
      <c r="N1818" s="367" t="s">
        <v>356</v>
      </c>
      <c r="O1818" s="368" t="s">
        <v>357</v>
      </c>
      <c r="P1818" s="367" t="str">
        <f>IF(J1818&gt;0,"Revenue",IF(J1818&lt;0,"Expense"))</f>
        <v>Revenue</v>
      </c>
      <c r="Q1818" s="366" t="s">
        <v>2157</v>
      </c>
      <c r="R1818" s="393" t="s">
        <v>2857</v>
      </c>
      <c r="S1818" s="395">
        <v>118501</v>
      </c>
    </row>
    <row r="1819" spans="1:19" ht="12.75" customHeight="1" collapsed="1">
      <c r="J1819" s="413">
        <f>SUM(J1815:J1818)</f>
        <v>4327246.5100000007</v>
      </c>
    </row>
    <row r="1821" spans="1:19" ht="12.75" customHeight="1">
      <c r="A1821" s="378" t="s">
        <v>2999</v>
      </c>
    </row>
    <row r="1822" spans="1:19" ht="30" hidden="1" outlineLevel="1">
      <c r="B1822" s="384">
        <v>2025</v>
      </c>
      <c r="C1822" s="384">
        <v>9</v>
      </c>
      <c r="D1822" s="367" t="s">
        <v>5</v>
      </c>
      <c r="E1822" s="367" t="s">
        <v>6</v>
      </c>
      <c r="F1822" s="389" t="s">
        <v>3000</v>
      </c>
      <c r="G1822" s="385">
        <v>45742</v>
      </c>
      <c r="H1822" s="367" t="s">
        <v>14</v>
      </c>
      <c r="I1822" s="368" t="str">
        <f>VLOOKUP(H1822,'Source Codes'!A$2:B$115,2,FALSE)</f>
        <v>AP Warrant Issuance</v>
      </c>
      <c r="J1822" s="412">
        <v>-3068759.81</v>
      </c>
      <c r="K1822" s="385">
        <v>45740</v>
      </c>
      <c r="L1822" s="387" t="s">
        <v>3013</v>
      </c>
      <c r="M1822" s="390">
        <v>45740.793854166666</v>
      </c>
      <c r="N1822" s="367" t="s">
        <v>356</v>
      </c>
      <c r="O1822" s="368" t="s">
        <v>368</v>
      </c>
      <c r="P1822" s="367" t="str">
        <f t="shared" ref="P1822:P1834" si="17">IF(J1822&gt;0,"Revenue",IF(J1822&lt;0,"Expense"))</f>
        <v>Expense</v>
      </c>
      <c r="Q1822" s="366" t="s">
        <v>2154</v>
      </c>
      <c r="R1822" s="393" t="s">
        <v>2154</v>
      </c>
      <c r="S1822" s="395" t="s">
        <v>203</v>
      </c>
    </row>
    <row r="1823" spans="1:19" ht="30" hidden="1" outlineLevel="1">
      <c r="B1823" s="384">
        <v>2025</v>
      </c>
      <c r="C1823" s="384">
        <v>9</v>
      </c>
      <c r="D1823" s="367" t="s">
        <v>5</v>
      </c>
      <c r="E1823" s="367" t="s">
        <v>6</v>
      </c>
      <c r="F1823" s="389" t="s">
        <v>3001</v>
      </c>
      <c r="G1823" s="385">
        <v>45733</v>
      </c>
      <c r="H1823" s="367" t="s">
        <v>12</v>
      </c>
      <c r="I1823" s="368" t="str">
        <f>VLOOKUP(H1823,'Source Codes'!A$2:B$115,2,FALSE)</f>
        <v>AR Direct Cash Journal</v>
      </c>
      <c r="J1823" s="412">
        <v>3402999.36</v>
      </c>
      <c r="K1823" s="385">
        <v>45740</v>
      </c>
      <c r="L1823" s="387" t="s">
        <v>3014</v>
      </c>
      <c r="M1823" s="390">
        <v>45740.752268518518</v>
      </c>
      <c r="N1823" s="367" t="s">
        <v>356</v>
      </c>
      <c r="O1823" s="368" t="s">
        <v>368</v>
      </c>
      <c r="P1823" s="367" t="str">
        <f t="shared" si="17"/>
        <v>Revenue</v>
      </c>
      <c r="Q1823" s="366" t="s">
        <v>2177</v>
      </c>
      <c r="R1823" s="393" t="s">
        <v>2214</v>
      </c>
      <c r="S1823" s="395" t="s">
        <v>203</v>
      </c>
    </row>
    <row r="1824" spans="1:19" ht="30" hidden="1" outlineLevel="1">
      <c r="B1824" s="384">
        <v>2025</v>
      </c>
      <c r="C1824" s="384">
        <v>9</v>
      </c>
      <c r="D1824" s="367" t="s">
        <v>5</v>
      </c>
      <c r="E1824" s="367" t="s">
        <v>6</v>
      </c>
      <c r="F1824" s="389" t="s">
        <v>3002</v>
      </c>
      <c r="G1824" s="385">
        <v>45740</v>
      </c>
      <c r="H1824" s="367" t="s">
        <v>11</v>
      </c>
      <c r="I1824" s="368" t="str">
        <f>VLOOKUP(H1824,'Source Codes'!A$2:B$115,2,FALSE)</f>
        <v>AR Payments</v>
      </c>
      <c r="J1824" s="412">
        <v>1345497.28</v>
      </c>
      <c r="K1824" s="385">
        <v>45740</v>
      </c>
      <c r="L1824" s="387" t="s">
        <v>505</v>
      </c>
      <c r="M1824" s="390">
        <v>45740.752268518518</v>
      </c>
      <c r="N1824" s="367" t="s">
        <v>356</v>
      </c>
      <c r="O1824" s="368" t="s">
        <v>357</v>
      </c>
      <c r="P1824" s="367" t="str">
        <f t="shared" si="17"/>
        <v>Revenue</v>
      </c>
      <c r="Q1824" s="366" t="s">
        <v>2157</v>
      </c>
      <c r="R1824" s="393" t="s">
        <v>2857</v>
      </c>
      <c r="S1824" s="395">
        <v>118501</v>
      </c>
    </row>
    <row r="1825" spans="1:19" ht="30" hidden="1" outlineLevel="1">
      <c r="B1825" s="384">
        <v>2025</v>
      </c>
      <c r="C1825" s="384">
        <v>9</v>
      </c>
      <c r="D1825" s="367" t="s">
        <v>5</v>
      </c>
      <c r="E1825" s="367" t="s">
        <v>6</v>
      </c>
      <c r="F1825" s="389" t="s">
        <v>3003</v>
      </c>
      <c r="G1825" s="385">
        <v>45737</v>
      </c>
      <c r="H1825" s="367" t="s">
        <v>11</v>
      </c>
      <c r="I1825" s="368" t="str">
        <f>VLOOKUP(H1825,'Source Codes'!A$2:B$115,2,FALSE)</f>
        <v>AR Payments</v>
      </c>
      <c r="J1825" s="412">
        <v>1372823.91</v>
      </c>
      <c r="K1825" s="385">
        <v>45740</v>
      </c>
      <c r="L1825" s="387" t="s">
        <v>3015</v>
      </c>
      <c r="M1825" s="390">
        <v>45740.752268518518</v>
      </c>
      <c r="N1825" s="367" t="s">
        <v>356</v>
      </c>
      <c r="O1825" s="368" t="s">
        <v>362</v>
      </c>
      <c r="P1825" s="367" t="str">
        <f t="shared" si="17"/>
        <v>Revenue</v>
      </c>
      <c r="Q1825" s="366" t="s">
        <v>2360</v>
      </c>
      <c r="R1825" s="393" t="s">
        <v>2715</v>
      </c>
      <c r="S1825" s="395">
        <v>118301</v>
      </c>
    </row>
    <row r="1826" spans="1:19" ht="45" hidden="1" outlineLevel="1">
      <c r="B1826" s="384">
        <v>2025</v>
      </c>
      <c r="C1826" s="384">
        <v>9</v>
      </c>
      <c r="D1826" s="367" t="s">
        <v>5</v>
      </c>
      <c r="E1826" s="367" t="s">
        <v>6</v>
      </c>
      <c r="F1826" s="389" t="s">
        <v>3004</v>
      </c>
      <c r="G1826" s="385">
        <v>45720</v>
      </c>
      <c r="H1826" s="367" t="s">
        <v>9</v>
      </c>
      <c r="I1826" s="368" t="str">
        <f>VLOOKUP(H1826,'Source Codes'!A$2:B$115,2,FALSE)</f>
        <v>On Line Journal Entries</v>
      </c>
      <c r="J1826" s="412">
        <v>30944183</v>
      </c>
      <c r="K1826" s="385">
        <v>45740</v>
      </c>
      <c r="L1826" s="387" t="s">
        <v>352</v>
      </c>
      <c r="M1826" s="390">
        <v>45740.870497685188</v>
      </c>
      <c r="N1826" s="367" t="s">
        <v>356</v>
      </c>
      <c r="O1826" s="368" t="s">
        <v>364</v>
      </c>
      <c r="P1826" s="367" t="str">
        <f t="shared" si="17"/>
        <v>Revenue</v>
      </c>
      <c r="Q1826" s="366" t="s">
        <v>2232</v>
      </c>
      <c r="R1826" s="393" t="s">
        <v>2232</v>
      </c>
      <c r="S1826" s="395" t="s">
        <v>3016</v>
      </c>
    </row>
    <row r="1827" spans="1:19" ht="30" hidden="1" outlineLevel="1">
      <c r="B1827" s="384">
        <v>2025</v>
      </c>
      <c r="C1827" s="384">
        <v>9</v>
      </c>
      <c r="D1827" s="367" t="s">
        <v>5</v>
      </c>
      <c r="E1827" s="367" t="s">
        <v>6</v>
      </c>
      <c r="F1827" s="389" t="s">
        <v>3005</v>
      </c>
      <c r="G1827" s="385">
        <v>45735</v>
      </c>
      <c r="H1827" s="367" t="s">
        <v>9</v>
      </c>
      <c r="I1827" s="368" t="str">
        <f>VLOOKUP(H1827,'Source Codes'!A$2:B$115,2,FALSE)</f>
        <v>On Line Journal Entries</v>
      </c>
      <c r="J1827" s="412">
        <v>8296118</v>
      </c>
      <c r="K1827" s="385">
        <v>45740</v>
      </c>
      <c r="L1827" s="387" t="s">
        <v>344</v>
      </c>
      <c r="M1827" s="390">
        <v>45740.870497685188</v>
      </c>
      <c r="N1827" s="367" t="s">
        <v>356</v>
      </c>
      <c r="O1827" s="368" t="s">
        <v>364</v>
      </c>
      <c r="P1827" s="367" t="str">
        <f t="shared" si="17"/>
        <v>Revenue</v>
      </c>
      <c r="Q1827" s="366" t="s">
        <v>2232</v>
      </c>
      <c r="R1827" s="393" t="s">
        <v>2232</v>
      </c>
      <c r="S1827" s="395" t="s">
        <v>2533</v>
      </c>
    </row>
    <row r="1828" spans="1:19" ht="45" hidden="1" outlineLevel="1">
      <c r="B1828" s="384">
        <v>2025</v>
      </c>
      <c r="C1828" s="384">
        <v>9</v>
      </c>
      <c r="D1828" s="367" t="s">
        <v>5</v>
      </c>
      <c r="E1828" s="367" t="s">
        <v>6</v>
      </c>
      <c r="F1828" s="389" t="s">
        <v>3006</v>
      </c>
      <c r="G1828" s="385">
        <v>45720</v>
      </c>
      <c r="H1828" s="367" t="s">
        <v>9</v>
      </c>
      <c r="I1828" s="368" t="str">
        <f>VLOOKUP(H1828,'Source Codes'!A$2:B$115,2,FALSE)</f>
        <v>On Line Journal Entries</v>
      </c>
      <c r="J1828" s="412">
        <v>5949394</v>
      </c>
      <c r="K1828" s="385">
        <v>45740</v>
      </c>
      <c r="L1828" s="387" t="s">
        <v>352</v>
      </c>
      <c r="M1828" s="390">
        <v>45740.870497685188</v>
      </c>
      <c r="N1828" s="367" t="s">
        <v>356</v>
      </c>
      <c r="O1828" s="368" t="s">
        <v>364</v>
      </c>
      <c r="P1828" s="367" t="str">
        <f t="shared" si="17"/>
        <v>Revenue</v>
      </c>
      <c r="Q1828" s="366" t="s">
        <v>2232</v>
      </c>
      <c r="R1828" s="393" t="s">
        <v>2232</v>
      </c>
      <c r="S1828" s="395" t="s">
        <v>3017</v>
      </c>
    </row>
    <row r="1829" spans="1:19" ht="30" hidden="1" outlineLevel="1">
      <c r="B1829" s="384">
        <v>2025</v>
      </c>
      <c r="C1829" s="384">
        <v>9</v>
      </c>
      <c r="D1829" s="367" t="s">
        <v>5</v>
      </c>
      <c r="E1829" s="367" t="s">
        <v>6</v>
      </c>
      <c r="F1829" s="389" t="s">
        <v>3007</v>
      </c>
      <c r="G1829" s="385">
        <v>45719</v>
      </c>
      <c r="H1829" s="367" t="s">
        <v>9</v>
      </c>
      <c r="I1829" s="368" t="str">
        <f>VLOOKUP(H1829,'Source Codes'!A$2:B$115,2,FALSE)</f>
        <v>On Line Journal Entries</v>
      </c>
      <c r="J1829" s="412">
        <v>5460163</v>
      </c>
      <c r="K1829" s="385">
        <v>45740</v>
      </c>
      <c r="L1829" s="387" t="s">
        <v>334</v>
      </c>
      <c r="M1829" s="390">
        <v>45740.870497685188</v>
      </c>
      <c r="N1829" s="367" t="s">
        <v>356</v>
      </c>
      <c r="O1829" s="368" t="s">
        <v>364</v>
      </c>
      <c r="P1829" s="367" t="str">
        <f t="shared" si="17"/>
        <v>Revenue</v>
      </c>
      <c r="Q1829" s="366" t="s">
        <v>2232</v>
      </c>
      <c r="R1829" s="393" t="s">
        <v>2232</v>
      </c>
      <c r="S1829" s="395">
        <v>750741</v>
      </c>
    </row>
    <row r="1830" spans="1:19" ht="30" hidden="1" outlineLevel="1">
      <c r="B1830" s="384">
        <v>2025</v>
      </c>
      <c r="C1830" s="384">
        <v>9</v>
      </c>
      <c r="D1830" s="367" t="s">
        <v>5</v>
      </c>
      <c r="E1830" s="367" t="s">
        <v>6</v>
      </c>
      <c r="F1830" s="389" t="s">
        <v>3008</v>
      </c>
      <c r="G1830" s="385">
        <v>45720</v>
      </c>
      <c r="H1830" s="367" t="s">
        <v>9</v>
      </c>
      <c r="I1830" s="368" t="str">
        <f>VLOOKUP(H1830,'Source Codes'!A$2:B$115,2,FALSE)</f>
        <v>On Line Journal Entries</v>
      </c>
      <c r="J1830" s="412">
        <v>5379477</v>
      </c>
      <c r="K1830" s="385">
        <v>45740</v>
      </c>
      <c r="L1830" s="387" t="s">
        <v>334</v>
      </c>
      <c r="M1830" s="390">
        <v>45740.870497685188</v>
      </c>
      <c r="N1830" s="367" t="s">
        <v>356</v>
      </c>
      <c r="O1830" s="368" t="s">
        <v>364</v>
      </c>
      <c r="P1830" s="367" t="str">
        <f t="shared" si="17"/>
        <v>Revenue</v>
      </c>
      <c r="Q1830" s="366" t="s">
        <v>2232</v>
      </c>
      <c r="R1830" s="393" t="s">
        <v>2232</v>
      </c>
      <c r="S1830" s="395">
        <v>750741</v>
      </c>
    </row>
    <row r="1831" spans="1:19" ht="60" hidden="1" outlineLevel="1">
      <c r="B1831" s="384">
        <v>2025</v>
      </c>
      <c r="C1831" s="384">
        <v>9</v>
      </c>
      <c r="D1831" s="367" t="s">
        <v>5</v>
      </c>
      <c r="E1831" s="367" t="s">
        <v>6</v>
      </c>
      <c r="F1831" s="389" t="s">
        <v>3009</v>
      </c>
      <c r="G1831" s="385">
        <v>45719</v>
      </c>
      <c r="H1831" s="367" t="s">
        <v>9</v>
      </c>
      <c r="I1831" s="368" t="str">
        <f>VLOOKUP(H1831,'Source Codes'!A$2:B$115,2,FALSE)</f>
        <v>On Line Journal Entries</v>
      </c>
      <c r="J1831" s="412">
        <v>4659430.0599999996</v>
      </c>
      <c r="K1831" s="385">
        <v>45740</v>
      </c>
      <c r="L1831" s="387" t="s">
        <v>347</v>
      </c>
      <c r="M1831" s="390">
        <v>45740.870497685188</v>
      </c>
      <c r="N1831" s="367" t="s">
        <v>356</v>
      </c>
      <c r="O1831" s="368" t="s">
        <v>364</v>
      </c>
      <c r="P1831" s="367" t="str">
        <f t="shared" si="17"/>
        <v>Revenue</v>
      </c>
      <c r="Q1831" s="366" t="s">
        <v>2232</v>
      </c>
      <c r="R1831" s="393" t="s">
        <v>2232</v>
      </c>
      <c r="S1831" s="395">
        <v>755924</v>
      </c>
    </row>
    <row r="1832" spans="1:19" ht="45" hidden="1" outlineLevel="1">
      <c r="B1832" s="384">
        <v>2025</v>
      </c>
      <c r="C1832" s="384">
        <v>9</v>
      </c>
      <c r="D1832" s="367" t="s">
        <v>5</v>
      </c>
      <c r="E1832" s="367" t="s">
        <v>6</v>
      </c>
      <c r="F1832" s="389" t="s">
        <v>3010</v>
      </c>
      <c r="G1832" s="385">
        <v>45721</v>
      </c>
      <c r="H1832" s="367" t="s">
        <v>9</v>
      </c>
      <c r="I1832" s="368" t="str">
        <f>VLOOKUP(H1832,'Source Codes'!A$2:B$115,2,FALSE)</f>
        <v>On Line Journal Entries</v>
      </c>
      <c r="J1832" s="412">
        <v>3393510</v>
      </c>
      <c r="K1832" s="385">
        <v>45740</v>
      </c>
      <c r="L1832" s="387" t="s">
        <v>343</v>
      </c>
      <c r="M1832" s="390">
        <v>45740.870497685188</v>
      </c>
      <c r="N1832" s="367" t="s">
        <v>356</v>
      </c>
      <c r="O1832" s="368" t="s">
        <v>364</v>
      </c>
      <c r="P1832" s="367" t="str">
        <f t="shared" si="17"/>
        <v>Revenue</v>
      </c>
      <c r="Q1832" s="366" t="s">
        <v>2232</v>
      </c>
      <c r="R1832" s="393" t="s">
        <v>2232</v>
      </c>
      <c r="S1832" s="395" t="s">
        <v>3018</v>
      </c>
    </row>
    <row r="1833" spans="1:19" ht="30" hidden="1" outlineLevel="1">
      <c r="B1833" s="384">
        <v>2025</v>
      </c>
      <c r="C1833" s="384">
        <v>9</v>
      </c>
      <c r="D1833" s="367" t="s">
        <v>5</v>
      </c>
      <c r="E1833" s="367" t="s">
        <v>6</v>
      </c>
      <c r="F1833" s="389" t="s">
        <v>3011</v>
      </c>
      <c r="G1833" s="385">
        <v>45735</v>
      </c>
      <c r="H1833" s="367" t="s">
        <v>9</v>
      </c>
      <c r="I1833" s="368" t="str">
        <f>VLOOKUP(H1833,'Source Codes'!A$2:B$115,2,FALSE)</f>
        <v>On Line Journal Entries</v>
      </c>
      <c r="J1833" s="412">
        <v>3053362</v>
      </c>
      <c r="K1833" s="385">
        <v>45740</v>
      </c>
      <c r="L1833" s="387" t="s">
        <v>344</v>
      </c>
      <c r="M1833" s="390">
        <v>45740.870497685188</v>
      </c>
      <c r="N1833" s="367" t="s">
        <v>356</v>
      </c>
      <c r="O1833" s="368" t="s">
        <v>364</v>
      </c>
      <c r="P1833" s="367" t="str">
        <f t="shared" si="17"/>
        <v>Revenue</v>
      </c>
      <c r="Q1833" s="366" t="s">
        <v>2232</v>
      </c>
      <c r="R1833" s="393" t="s">
        <v>2232</v>
      </c>
      <c r="S1833" s="395" t="s">
        <v>2533</v>
      </c>
    </row>
    <row r="1834" spans="1:19" ht="15" hidden="1" outlineLevel="1">
      <c r="B1834" s="384">
        <v>2025</v>
      </c>
      <c r="C1834" s="384">
        <v>9</v>
      </c>
      <c r="D1834" s="367" t="s">
        <v>5</v>
      </c>
      <c r="E1834" s="367" t="s">
        <v>6</v>
      </c>
      <c r="F1834" s="389" t="s">
        <v>3012</v>
      </c>
      <c r="G1834" s="385">
        <v>45735</v>
      </c>
      <c r="H1834" s="367" t="s">
        <v>7</v>
      </c>
      <c r="I1834" s="368" t="str">
        <f>VLOOKUP(H1834,'Source Codes'!A$2:B$115,2,FALSE)</f>
        <v>HRMS Interface Journals</v>
      </c>
      <c r="J1834" s="412">
        <v>-11157900.09</v>
      </c>
      <c r="K1834" s="385">
        <v>45740</v>
      </c>
      <c r="L1834" s="387" t="s">
        <v>407</v>
      </c>
      <c r="M1834" s="390">
        <v>45740.420590277776</v>
      </c>
      <c r="N1834" s="367" t="s">
        <v>378</v>
      </c>
      <c r="O1834" s="368" t="s">
        <v>379</v>
      </c>
      <c r="P1834" s="367" t="str">
        <f t="shared" si="17"/>
        <v>Expense</v>
      </c>
      <c r="Q1834" s="366" t="s">
        <v>379</v>
      </c>
      <c r="R1834" s="393" t="s">
        <v>2990</v>
      </c>
      <c r="S1834" s="395" t="s">
        <v>203</v>
      </c>
    </row>
    <row r="1835" spans="1:19" ht="12.75" customHeight="1" collapsed="1">
      <c r="J1835" s="413">
        <f>SUM(J1822:J1834)</f>
        <v>59030297.710000008</v>
      </c>
    </row>
    <row r="1837" spans="1:19" ht="12.75" customHeight="1">
      <c r="A1837" s="378" t="s">
        <v>3019</v>
      </c>
    </row>
    <row r="1838" spans="1:19" ht="45" hidden="1" outlineLevel="1">
      <c r="B1838" s="384">
        <v>2025</v>
      </c>
      <c r="C1838" s="384">
        <v>9</v>
      </c>
      <c r="D1838" s="367" t="s">
        <v>5</v>
      </c>
      <c r="E1838" s="367" t="s">
        <v>6</v>
      </c>
      <c r="F1838" s="389" t="s">
        <v>3020</v>
      </c>
      <c r="G1838" s="385">
        <v>45741</v>
      </c>
      <c r="H1838" s="367" t="s">
        <v>14</v>
      </c>
      <c r="I1838" s="368" t="str">
        <f>VLOOKUP(H1838,'Source Codes'!A$2:B$115,2,FALSE)</f>
        <v>AP Warrant Issuance</v>
      </c>
      <c r="J1838" s="412">
        <v>-1062080.24</v>
      </c>
      <c r="K1838" s="385">
        <v>45741</v>
      </c>
      <c r="L1838" s="387" t="s">
        <v>3027</v>
      </c>
      <c r="M1838" s="390">
        <v>45741.793958333335</v>
      </c>
      <c r="N1838" s="367" t="s">
        <v>2185</v>
      </c>
      <c r="O1838" s="368" t="s">
        <v>2631</v>
      </c>
      <c r="P1838" s="367" t="str">
        <f>IF(J1838&gt;0,"Revenue",IF(J1838&lt;0,"Expense"))</f>
        <v>Expense</v>
      </c>
      <c r="Q1838" s="366" t="s">
        <v>3028</v>
      </c>
      <c r="R1838" s="366" t="s">
        <v>3028</v>
      </c>
      <c r="S1838" s="395">
        <v>209100</v>
      </c>
    </row>
    <row r="1839" spans="1:19" ht="30" hidden="1" outlineLevel="1">
      <c r="B1839" s="384">
        <v>2025</v>
      </c>
      <c r="C1839" s="384">
        <v>9</v>
      </c>
      <c r="D1839" s="367" t="s">
        <v>5</v>
      </c>
      <c r="E1839" s="367" t="s">
        <v>6</v>
      </c>
      <c r="F1839" s="389" t="s">
        <v>3021</v>
      </c>
      <c r="G1839" s="385">
        <v>45737</v>
      </c>
      <c r="H1839" s="367" t="s">
        <v>12</v>
      </c>
      <c r="I1839" s="368" t="str">
        <f>VLOOKUP(H1839,'Source Codes'!A$2:B$115,2,FALSE)</f>
        <v>AR Direct Cash Journal</v>
      </c>
      <c r="J1839" s="412">
        <v>4794603.16</v>
      </c>
      <c r="K1839" s="385">
        <v>45741</v>
      </c>
      <c r="L1839" s="387" t="s">
        <v>3015</v>
      </c>
      <c r="M1839" s="390">
        <v>45741.75240740741</v>
      </c>
      <c r="N1839" s="367" t="s">
        <v>356</v>
      </c>
      <c r="O1839" s="368" t="s">
        <v>362</v>
      </c>
      <c r="P1839" s="367" t="str">
        <f>IF(J1839&gt;0,"Revenue",IF(J1839&lt;0,"Expense"))</f>
        <v>Revenue</v>
      </c>
      <c r="Q1839" s="366" t="s">
        <v>2360</v>
      </c>
      <c r="R1839" s="393" t="s">
        <v>2715</v>
      </c>
      <c r="S1839" s="395">
        <v>767220</v>
      </c>
    </row>
    <row r="1840" spans="1:19" ht="30" hidden="1" outlineLevel="1">
      <c r="B1840" s="384">
        <v>2025</v>
      </c>
      <c r="C1840" s="384">
        <v>9</v>
      </c>
      <c r="D1840" s="367" t="s">
        <v>5</v>
      </c>
      <c r="E1840" s="367" t="s">
        <v>6</v>
      </c>
      <c r="F1840" s="389" t="s">
        <v>3022</v>
      </c>
      <c r="G1840" s="385">
        <v>45741</v>
      </c>
      <c r="H1840" s="367" t="s">
        <v>9</v>
      </c>
      <c r="I1840" s="368" t="str">
        <f>VLOOKUP(H1840,'Source Codes'!A$2:B$115,2,FALSE)</f>
        <v>On Line Journal Entries</v>
      </c>
      <c r="J1840" s="412">
        <v>-4000000</v>
      </c>
      <c r="K1840" s="385">
        <v>45741</v>
      </c>
      <c r="L1840" s="387" t="s">
        <v>3025</v>
      </c>
      <c r="M1840" s="390">
        <v>45741.870659722219</v>
      </c>
      <c r="N1840" s="367" t="s">
        <v>387</v>
      </c>
      <c r="O1840" s="368" t="s">
        <v>358</v>
      </c>
      <c r="P1840" s="367" t="str">
        <f>IF(J1840&gt;0,"Revenue",IF(J1840&lt;0,"Expense"))</f>
        <v>Expense</v>
      </c>
      <c r="Q1840" s="366" t="s">
        <v>3029</v>
      </c>
      <c r="R1840" s="366" t="s">
        <v>3029</v>
      </c>
      <c r="S1840" s="395">
        <v>551100</v>
      </c>
    </row>
    <row r="1841" spans="1:19" ht="45" hidden="1" outlineLevel="1">
      <c r="B1841" s="384">
        <v>2025</v>
      </c>
      <c r="C1841" s="384">
        <v>9</v>
      </c>
      <c r="D1841" s="367" t="s">
        <v>5</v>
      </c>
      <c r="E1841" s="367" t="s">
        <v>6</v>
      </c>
      <c r="F1841" s="389" t="s">
        <v>3023</v>
      </c>
      <c r="G1841" s="385">
        <v>45740</v>
      </c>
      <c r="H1841" s="367" t="s">
        <v>9</v>
      </c>
      <c r="I1841" s="368" t="str">
        <f>VLOOKUP(H1841,'Source Codes'!A$2:B$115,2,FALSE)</f>
        <v>On Line Journal Entries</v>
      </c>
      <c r="J1841" s="412">
        <v>-5400000</v>
      </c>
      <c r="K1841" s="385">
        <v>45741</v>
      </c>
      <c r="L1841" s="387" t="s">
        <v>3026</v>
      </c>
      <c r="M1841" s="390">
        <v>45741.870659722219</v>
      </c>
      <c r="N1841" s="367" t="s">
        <v>387</v>
      </c>
      <c r="O1841" s="368" t="s">
        <v>358</v>
      </c>
      <c r="P1841" s="367" t="str">
        <f>IF(J1841&gt;0,"Revenue",IF(J1841&lt;0,"Expense"))</f>
        <v>Expense</v>
      </c>
      <c r="Q1841" s="366" t="s">
        <v>3030</v>
      </c>
      <c r="R1841" s="366" t="s">
        <v>3030</v>
      </c>
      <c r="S1841" s="395">
        <v>551100</v>
      </c>
    </row>
    <row r="1842" spans="1:19" ht="15" hidden="1" outlineLevel="1">
      <c r="B1842" s="384">
        <v>2025</v>
      </c>
      <c r="C1842" s="384">
        <v>9</v>
      </c>
      <c r="D1842" s="367" t="s">
        <v>5</v>
      </c>
      <c r="E1842" s="367" t="s">
        <v>6</v>
      </c>
      <c r="F1842" s="389" t="s">
        <v>3024</v>
      </c>
      <c r="G1842" s="385">
        <v>45735</v>
      </c>
      <c r="H1842" s="367" t="s">
        <v>7</v>
      </c>
      <c r="I1842" s="368" t="str">
        <f>VLOOKUP(H1842,'Source Codes'!A$2:B$115,2,FALSE)</f>
        <v>HRMS Interface Journals</v>
      </c>
      <c r="J1842" s="412">
        <v>-70061815.930000007</v>
      </c>
      <c r="K1842" s="385">
        <v>45741</v>
      </c>
      <c r="L1842" s="387" t="s">
        <v>406</v>
      </c>
      <c r="M1842" s="390">
        <v>45741.318807870368</v>
      </c>
      <c r="N1842" s="367" t="s">
        <v>378</v>
      </c>
      <c r="O1842" s="368" t="s">
        <v>371</v>
      </c>
      <c r="P1842" s="367" t="str">
        <f>IF(J1842&gt;0,"Revenue",IF(J1842&lt;0,"Expense"))</f>
        <v>Expense</v>
      </c>
      <c r="Q1842" s="366" t="s">
        <v>379</v>
      </c>
      <c r="R1842" s="393" t="s">
        <v>2990</v>
      </c>
      <c r="S1842" s="395" t="s">
        <v>203</v>
      </c>
    </row>
    <row r="1843" spans="1:19" ht="12.75" customHeight="1" collapsed="1">
      <c r="J1843" s="413">
        <f>SUM(J1838:J1842)</f>
        <v>-75729293.010000005</v>
      </c>
    </row>
    <row r="1845" spans="1:19" ht="12.75" customHeight="1">
      <c r="A1845" s="378" t="s">
        <v>3031</v>
      </c>
    </row>
    <row r="1846" spans="1:19" ht="30" hidden="1" outlineLevel="1">
      <c r="B1846" s="384">
        <v>2025</v>
      </c>
      <c r="C1846" s="384">
        <v>9</v>
      </c>
      <c r="D1846" s="367" t="s">
        <v>5</v>
      </c>
      <c r="E1846" s="367" t="s">
        <v>6</v>
      </c>
      <c r="F1846" s="389" t="s">
        <v>3032</v>
      </c>
      <c r="G1846" s="385">
        <v>45742</v>
      </c>
      <c r="H1846" s="367" t="s">
        <v>14</v>
      </c>
      <c r="I1846" s="368" t="str">
        <f>VLOOKUP(H1846,'Source Codes'!A$2:B$115,2,FALSE)</f>
        <v>AP Warrant Issuance</v>
      </c>
      <c r="J1846" s="412">
        <v>-2384205.11</v>
      </c>
      <c r="K1846" s="385">
        <v>45742</v>
      </c>
      <c r="L1846" s="387" t="s">
        <v>3040</v>
      </c>
      <c r="M1846" s="390">
        <v>45742.794178240743</v>
      </c>
      <c r="N1846" s="367" t="s">
        <v>356</v>
      </c>
      <c r="O1846" s="368" t="s">
        <v>368</v>
      </c>
      <c r="P1846" s="367" t="str">
        <f t="shared" ref="P1846:P1852" si="18">IF(J1846&gt;0,"Revenue",IF(J1846&lt;0,"Expense"))</f>
        <v>Expense</v>
      </c>
      <c r="Q1846" s="366" t="s">
        <v>2154</v>
      </c>
      <c r="R1846" s="366" t="s">
        <v>2154</v>
      </c>
      <c r="S1846" s="395" t="s">
        <v>203</v>
      </c>
    </row>
    <row r="1847" spans="1:19" ht="30" hidden="1" outlineLevel="1">
      <c r="B1847" s="384">
        <v>2025</v>
      </c>
      <c r="C1847" s="384">
        <v>9</v>
      </c>
      <c r="D1847" s="367" t="s">
        <v>5</v>
      </c>
      <c r="E1847" s="367" t="s">
        <v>6</v>
      </c>
      <c r="F1847" s="389" t="s">
        <v>3033</v>
      </c>
      <c r="G1847" s="385">
        <v>45744</v>
      </c>
      <c r="H1847" s="367" t="s">
        <v>14</v>
      </c>
      <c r="I1847" s="368" t="str">
        <f>VLOOKUP(H1847,'Source Codes'!A$2:B$115,2,FALSE)</f>
        <v>AP Warrant Issuance</v>
      </c>
      <c r="J1847" s="412">
        <v>-2281861.85</v>
      </c>
      <c r="K1847" s="385">
        <v>45742</v>
      </c>
      <c r="L1847" s="387" t="s">
        <v>3041</v>
      </c>
      <c r="M1847" s="390">
        <v>45742.794178240743</v>
      </c>
      <c r="N1847" s="367" t="s">
        <v>356</v>
      </c>
      <c r="O1847" s="368" t="s">
        <v>368</v>
      </c>
      <c r="P1847" s="367" t="str">
        <f t="shared" si="18"/>
        <v>Expense</v>
      </c>
      <c r="Q1847" s="366" t="s">
        <v>2154</v>
      </c>
      <c r="R1847" s="366" t="s">
        <v>2154</v>
      </c>
      <c r="S1847" s="395" t="s">
        <v>203</v>
      </c>
    </row>
    <row r="1848" spans="1:19" ht="30" hidden="1" outlineLevel="1">
      <c r="B1848" s="384">
        <v>2025</v>
      </c>
      <c r="C1848" s="384">
        <v>9</v>
      </c>
      <c r="D1848" s="367" t="s">
        <v>5</v>
      </c>
      <c r="E1848" s="367" t="s">
        <v>6</v>
      </c>
      <c r="F1848" s="389" t="s">
        <v>3034</v>
      </c>
      <c r="G1848" s="385">
        <v>45742</v>
      </c>
      <c r="H1848" s="367" t="s">
        <v>12</v>
      </c>
      <c r="I1848" s="368" t="str">
        <f>VLOOKUP(H1848,'Source Codes'!A$2:B$115,2,FALSE)</f>
        <v>AR Direct Cash Journal</v>
      </c>
      <c r="J1848" s="412">
        <v>1244900.55</v>
      </c>
      <c r="K1848" s="385">
        <v>45742</v>
      </c>
      <c r="L1848" s="387" t="s">
        <v>3043</v>
      </c>
      <c r="M1848" s="390">
        <v>45742.752256944441</v>
      </c>
      <c r="N1848" s="367" t="s">
        <v>356</v>
      </c>
      <c r="O1848" s="368" t="s">
        <v>370</v>
      </c>
      <c r="P1848" s="367" t="str">
        <f t="shared" si="18"/>
        <v>Revenue</v>
      </c>
      <c r="Q1848" s="366" t="s">
        <v>2264</v>
      </c>
      <c r="R1848" s="366" t="s">
        <v>2265</v>
      </c>
      <c r="S1848" s="395" t="s">
        <v>3042</v>
      </c>
    </row>
    <row r="1849" spans="1:19" ht="30" hidden="1" outlineLevel="1">
      <c r="B1849" s="384">
        <v>2025</v>
      </c>
      <c r="C1849" s="384">
        <v>9</v>
      </c>
      <c r="D1849" s="367" t="s">
        <v>5</v>
      </c>
      <c r="E1849" s="367" t="s">
        <v>6</v>
      </c>
      <c r="F1849" s="389" t="s">
        <v>3035</v>
      </c>
      <c r="G1849" s="385">
        <v>45742</v>
      </c>
      <c r="H1849" s="367" t="s">
        <v>11</v>
      </c>
      <c r="I1849" s="368" t="str">
        <f>VLOOKUP(H1849,'Source Codes'!A$2:B$115,2,FALSE)</f>
        <v>AR Payments</v>
      </c>
      <c r="J1849" s="412">
        <v>1506053.15</v>
      </c>
      <c r="K1849" s="385">
        <v>45742</v>
      </c>
      <c r="L1849" s="387" t="s">
        <v>3048</v>
      </c>
      <c r="M1849" s="390">
        <v>45742.752256944441</v>
      </c>
      <c r="N1849" s="367" t="s">
        <v>356</v>
      </c>
      <c r="O1849" s="368" t="s">
        <v>362</v>
      </c>
      <c r="P1849" s="367" t="str">
        <f t="shared" si="18"/>
        <v>Revenue</v>
      </c>
      <c r="Q1849" s="366" t="s">
        <v>3049</v>
      </c>
      <c r="R1849" s="366" t="s">
        <v>3050</v>
      </c>
      <c r="S1849" s="395">
        <v>118301</v>
      </c>
    </row>
    <row r="1850" spans="1:19" ht="30" hidden="1" outlineLevel="1">
      <c r="B1850" s="384">
        <v>2025</v>
      </c>
      <c r="C1850" s="384">
        <v>9</v>
      </c>
      <c r="D1850" s="367" t="s">
        <v>5</v>
      </c>
      <c r="E1850" s="367" t="s">
        <v>6</v>
      </c>
      <c r="F1850" s="389" t="s">
        <v>3036</v>
      </c>
      <c r="G1850" s="385">
        <v>45735</v>
      </c>
      <c r="H1850" s="367" t="s">
        <v>9</v>
      </c>
      <c r="I1850" s="368" t="str">
        <f>VLOOKUP(H1850,'Source Codes'!A$2:B$115,2,FALSE)</f>
        <v>On Line Journal Entries</v>
      </c>
      <c r="J1850" s="412">
        <v>15452270.119999999</v>
      </c>
      <c r="K1850" s="385">
        <v>45742</v>
      </c>
      <c r="L1850" s="387" t="s">
        <v>344</v>
      </c>
      <c r="M1850" s="390">
        <v>45742.496793981481</v>
      </c>
      <c r="N1850" s="367" t="s">
        <v>356</v>
      </c>
      <c r="O1850" s="368" t="s">
        <v>364</v>
      </c>
      <c r="P1850" s="367" t="str">
        <f t="shared" si="18"/>
        <v>Revenue</v>
      </c>
      <c r="Q1850" s="366" t="s">
        <v>2232</v>
      </c>
      <c r="R1850" s="366" t="s">
        <v>2232</v>
      </c>
      <c r="S1850" s="395" t="s">
        <v>3044</v>
      </c>
    </row>
    <row r="1851" spans="1:19" ht="60" hidden="1" outlineLevel="1">
      <c r="B1851" s="384">
        <v>2025</v>
      </c>
      <c r="C1851" s="384">
        <v>9</v>
      </c>
      <c r="D1851" s="367" t="s">
        <v>5</v>
      </c>
      <c r="E1851" s="367" t="s">
        <v>6</v>
      </c>
      <c r="F1851" s="389" t="s">
        <v>3037</v>
      </c>
      <c r="G1851" s="385">
        <v>45740</v>
      </c>
      <c r="H1851" s="367" t="s">
        <v>9</v>
      </c>
      <c r="I1851" s="368" t="str">
        <f>VLOOKUP(H1851,'Source Codes'!A$2:B$115,2,FALSE)</f>
        <v>On Line Journal Entries</v>
      </c>
      <c r="J1851" s="412">
        <v>-1500000</v>
      </c>
      <c r="K1851" s="385">
        <v>45742</v>
      </c>
      <c r="L1851" s="387" t="s">
        <v>3045</v>
      </c>
      <c r="M1851" s="390">
        <v>45742.870729166665</v>
      </c>
      <c r="N1851" s="367" t="s">
        <v>387</v>
      </c>
      <c r="O1851" s="368" t="s">
        <v>358</v>
      </c>
      <c r="P1851" s="367" t="str">
        <f t="shared" si="18"/>
        <v>Expense</v>
      </c>
      <c r="Q1851" s="368" t="s">
        <v>3046</v>
      </c>
      <c r="R1851" s="393" t="s">
        <v>3046</v>
      </c>
      <c r="S1851" s="395">
        <v>551100</v>
      </c>
    </row>
    <row r="1852" spans="1:19" ht="30" hidden="1" outlineLevel="1">
      <c r="B1852" s="384">
        <v>2025</v>
      </c>
      <c r="C1852" s="384">
        <v>9</v>
      </c>
      <c r="D1852" s="367" t="s">
        <v>5</v>
      </c>
      <c r="E1852" s="367" t="s">
        <v>6</v>
      </c>
      <c r="F1852" s="389" t="s">
        <v>3038</v>
      </c>
      <c r="G1852" s="385">
        <v>45717</v>
      </c>
      <c r="H1852" s="367" t="s">
        <v>9</v>
      </c>
      <c r="I1852" s="368" t="str">
        <f>VLOOKUP(H1852,'Source Codes'!A$2:B$115,2,FALSE)</f>
        <v>On Line Journal Entries</v>
      </c>
      <c r="J1852" s="412">
        <v>-5075223.83</v>
      </c>
      <c r="K1852" s="385">
        <v>45742</v>
      </c>
      <c r="L1852" s="387" t="s">
        <v>3039</v>
      </c>
      <c r="M1852" s="390">
        <v>45742.441192129627</v>
      </c>
      <c r="N1852" s="367" t="s">
        <v>356</v>
      </c>
      <c r="O1852" s="368" t="s">
        <v>374</v>
      </c>
      <c r="P1852" s="367" t="str">
        <f t="shared" si="18"/>
        <v>Expense</v>
      </c>
      <c r="Q1852" s="366" t="s">
        <v>2202</v>
      </c>
      <c r="R1852" s="366" t="s">
        <v>3047</v>
      </c>
      <c r="S1852" s="395">
        <v>525840</v>
      </c>
    </row>
    <row r="1853" spans="1:19" ht="12.75" customHeight="1" collapsed="1">
      <c r="J1853" s="413">
        <f>SUM(J1846:J1852)</f>
        <v>6961933.0299999993</v>
      </c>
    </row>
    <row r="1855" spans="1:19" ht="12.75" customHeight="1">
      <c r="A1855" s="378" t="s">
        <v>3064</v>
      </c>
    </row>
    <row r="1856" spans="1:19" ht="45" hidden="1" outlineLevel="1">
      <c r="B1856" s="384">
        <v>2025</v>
      </c>
      <c r="C1856" s="384">
        <v>9</v>
      </c>
      <c r="D1856" s="367" t="s">
        <v>5</v>
      </c>
      <c r="E1856" s="367" t="s">
        <v>6</v>
      </c>
      <c r="F1856" s="389" t="s">
        <v>3051</v>
      </c>
      <c r="G1856" s="385">
        <v>45743</v>
      </c>
      <c r="H1856" s="367" t="s">
        <v>14</v>
      </c>
      <c r="I1856" s="368" t="str">
        <f>VLOOKUP(H1856,'Source Codes'!A$2:B$115,2,FALSE)</f>
        <v>AP Warrant Issuance</v>
      </c>
      <c r="J1856" s="412">
        <v>-1698571.98</v>
      </c>
      <c r="K1856" s="385">
        <v>45743</v>
      </c>
      <c r="L1856" s="387" t="s">
        <v>3058</v>
      </c>
      <c r="M1856" s="390">
        <v>45743.793958333335</v>
      </c>
      <c r="N1856" s="367" t="s">
        <v>356</v>
      </c>
      <c r="O1856" s="368" t="s">
        <v>368</v>
      </c>
      <c r="P1856" s="367" t="str">
        <f>IF(J1856&gt;0,"Revenue",IF(J1856&lt;0,"Expense"))</f>
        <v>Expense</v>
      </c>
      <c r="Q1856" s="366" t="s">
        <v>2154</v>
      </c>
      <c r="R1856" s="366" t="s">
        <v>2154</v>
      </c>
      <c r="S1856" s="395" t="s">
        <v>203</v>
      </c>
    </row>
    <row r="1857" spans="1:19" ht="30" hidden="1" outlineLevel="1">
      <c r="B1857" s="384">
        <v>2025</v>
      </c>
      <c r="C1857" s="384">
        <v>9</v>
      </c>
      <c r="D1857" s="367" t="s">
        <v>5</v>
      </c>
      <c r="E1857" s="367" t="s">
        <v>6</v>
      </c>
      <c r="F1857" s="389" t="s">
        <v>3052</v>
      </c>
      <c r="G1857" s="385">
        <v>45741</v>
      </c>
      <c r="H1857" s="367" t="s">
        <v>12</v>
      </c>
      <c r="I1857" s="368" t="str">
        <f>VLOOKUP(H1857,'Source Codes'!A$2:B$115,2,FALSE)</f>
        <v>AR Direct Cash Journal</v>
      </c>
      <c r="J1857" s="412">
        <v>6517296.0099999998</v>
      </c>
      <c r="K1857" s="385">
        <v>45743</v>
      </c>
      <c r="L1857" s="387" t="s">
        <v>3059</v>
      </c>
      <c r="M1857" s="390">
        <v>45743.752280092594</v>
      </c>
      <c r="N1857" s="367" t="s">
        <v>356</v>
      </c>
      <c r="O1857" s="368" t="s">
        <v>368</v>
      </c>
      <c r="P1857" s="367" t="str">
        <f>IF(J1857&gt;0,"Revenue",IF(J1857&lt;0,"Expense"))</f>
        <v>Revenue</v>
      </c>
      <c r="Q1857" s="366" t="s">
        <v>2177</v>
      </c>
      <c r="R1857" s="366" t="s">
        <v>2214</v>
      </c>
      <c r="S1857" s="366" t="s">
        <v>2348</v>
      </c>
    </row>
    <row r="1858" spans="1:19" ht="30" hidden="1" outlineLevel="1">
      <c r="B1858" s="384">
        <v>2025</v>
      </c>
      <c r="C1858" s="384">
        <v>9</v>
      </c>
      <c r="D1858" s="367" t="s">
        <v>5</v>
      </c>
      <c r="E1858" s="367" t="s">
        <v>6</v>
      </c>
      <c r="F1858" s="389" t="s">
        <v>3053</v>
      </c>
      <c r="G1858" s="385">
        <v>45743</v>
      </c>
      <c r="H1858" s="367" t="s">
        <v>11</v>
      </c>
      <c r="I1858" s="368" t="str">
        <f>VLOOKUP(H1858,'Source Codes'!A$2:B$115,2,FALSE)</f>
        <v>AR Payments</v>
      </c>
      <c r="J1858" s="412">
        <v>4110466.67</v>
      </c>
      <c r="K1858" s="385">
        <v>45743</v>
      </c>
      <c r="L1858" s="387" t="s">
        <v>398</v>
      </c>
      <c r="M1858" s="390">
        <v>45743.752280092594</v>
      </c>
      <c r="N1858" s="367" t="s">
        <v>356</v>
      </c>
      <c r="O1858" s="368" t="s">
        <v>357</v>
      </c>
      <c r="P1858" s="367" t="str">
        <f>IF(J1858&gt;0,"Revenue",IF(J1858&lt;0,"Expense"))</f>
        <v>Revenue</v>
      </c>
      <c r="Q1858" s="366" t="s">
        <v>2157</v>
      </c>
      <c r="R1858" s="393" t="s">
        <v>2857</v>
      </c>
      <c r="S1858" s="395">
        <v>118501</v>
      </c>
    </row>
    <row r="1859" spans="1:19" ht="45" hidden="1" outlineLevel="1">
      <c r="B1859" s="384">
        <v>2025</v>
      </c>
      <c r="C1859" s="384">
        <v>9</v>
      </c>
      <c r="D1859" s="367" t="s">
        <v>5</v>
      </c>
      <c r="E1859" s="367" t="s">
        <v>6</v>
      </c>
      <c r="F1859" s="389" t="s">
        <v>3054</v>
      </c>
      <c r="G1859" s="385">
        <v>45729</v>
      </c>
      <c r="H1859" s="367" t="s">
        <v>9</v>
      </c>
      <c r="I1859" s="368" t="str">
        <f>VLOOKUP(H1859,'Source Codes'!A$2:B$115,2,FALSE)</f>
        <v>On Line Journal Entries</v>
      </c>
      <c r="J1859" s="412">
        <v>-1549125.99</v>
      </c>
      <c r="K1859" s="385">
        <v>45743</v>
      </c>
      <c r="L1859" s="387" t="s">
        <v>3056</v>
      </c>
      <c r="M1859" s="390">
        <v>45743.594641203701</v>
      </c>
      <c r="N1859" s="367" t="s">
        <v>3061</v>
      </c>
      <c r="O1859" s="368" t="s">
        <v>533</v>
      </c>
      <c r="P1859" s="367" t="str">
        <f>IF(J1859&gt;0,"Revenue",IF(J1859&lt;0,"Expense"))</f>
        <v>Expense</v>
      </c>
      <c r="Q1859" s="366" t="s">
        <v>3062</v>
      </c>
      <c r="R1859" s="366" t="s">
        <v>3060</v>
      </c>
      <c r="S1859" s="395">
        <v>532600</v>
      </c>
    </row>
    <row r="1860" spans="1:19" ht="30" hidden="1" outlineLevel="1">
      <c r="B1860" s="384">
        <v>2025</v>
      </c>
      <c r="C1860" s="384">
        <v>9</v>
      </c>
      <c r="D1860" s="367" t="s">
        <v>5</v>
      </c>
      <c r="E1860" s="367" t="s">
        <v>6</v>
      </c>
      <c r="F1860" s="389" t="s">
        <v>3055</v>
      </c>
      <c r="G1860" s="385">
        <v>45730</v>
      </c>
      <c r="H1860" s="367" t="s">
        <v>337</v>
      </c>
      <c r="I1860" s="368" t="str">
        <f>VLOOKUP(H1860,'Source Codes'!A$2:B$115,2,FALSE)</f>
        <v>Facilities Mngmnt Intfc Jrnls</v>
      </c>
      <c r="J1860" s="412">
        <v>-4230730.96</v>
      </c>
      <c r="K1860" s="385">
        <v>45743</v>
      </c>
      <c r="L1860" s="387" t="s">
        <v>3057</v>
      </c>
      <c r="M1860" s="390">
        <v>45743.65898148148</v>
      </c>
      <c r="N1860" s="367" t="s">
        <v>356</v>
      </c>
      <c r="O1860" s="368" t="s">
        <v>367</v>
      </c>
      <c r="P1860" s="367" t="str">
        <f>IF(J1860&gt;0,"Revenue",IF(J1860&lt;0,"Expense"))</f>
        <v>Expense</v>
      </c>
      <c r="Q1860" s="366" t="s">
        <v>2237</v>
      </c>
      <c r="R1860" s="366" t="s">
        <v>4541</v>
      </c>
      <c r="S1860" s="395" t="s">
        <v>2239</v>
      </c>
    </row>
    <row r="1861" spans="1:19" ht="12.75" customHeight="1" collapsed="1">
      <c r="J1861" s="413">
        <f>SUM(J1856:J1860)</f>
        <v>3149333.7499999991</v>
      </c>
    </row>
    <row r="1863" spans="1:19" ht="12.75" customHeight="1">
      <c r="A1863" s="378" t="s">
        <v>3063</v>
      </c>
    </row>
    <row r="1864" spans="1:19" ht="45" hidden="1" outlineLevel="1">
      <c r="B1864" s="384">
        <v>2025</v>
      </c>
      <c r="C1864" s="384">
        <v>9</v>
      </c>
      <c r="D1864" s="367" t="s">
        <v>5</v>
      </c>
      <c r="E1864" s="367" t="s">
        <v>6</v>
      </c>
      <c r="F1864" s="389" t="s">
        <v>3065</v>
      </c>
      <c r="G1864" s="385">
        <v>45743</v>
      </c>
      <c r="H1864" s="367" t="s">
        <v>12</v>
      </c>
      <c r="I1864" s="368" t="str">
        <f>VLOOKUP(H1864,'Source Codes'!A$2:B$115,2,FALSE)</f>
        <v>AR Direct Cash Journal</v>
      </c>
      <c r="J1864" s="412">
        <v>2742521.37</v>
      </c>
      <c r="K1864" s="385">
        <v>45744</v>
      </c>
      <c r="L1864" s="387" t="s">
        <v>3071</v>
      </c>
      <c r="M1864" s="390">
        <v>45744.752071759256</v>
      </c>
      <c r="N1864" s="367" t="s">
        <v>356</v>
      </c>
      <c r="O1864" s="368" t="s">
        <v>370</v>
      </c>
      <c r="P1864" s="367" t="str">
        <f>IF(J1864&gt;0,"Revenue",IF(J1864&lt;0,"Expense"))</f>
        <v>Revenue</v>
      </c>
      <c r="Q1864" s="366" t="s">
        <v>2264</v>
      </c>
      <c r="R1864" s="366" t="s">
        <v>2265</v>
      </c>
      <c r="S1864" s="395" t="s">
        <v>203</v>
      </c>
    </row>
    <row r="1865" spans="1:19" ht="30" hidden="1" outlineLevel="1">
      <c r="B1865" s="384">
        <v>2025</v>
      </c>
      <c r="C1865" s="384">
        <v>9</v>
      </c>
      <c r="D1865" s="367" t="s">
        <v>5</v>
      </c>
      <c r="E1865" s="367" t="s">
        <v>6</v>
      </c>
      <c r="F1865" s="389" t="s">
        <v>3066</v>
      </c>
      <c r="G1865" s="385">
        <v>45743</v>
      </c>
      <c r="H1865" s="367" t="s">
        <v>12</v>
      </c>
      <c r="I1865" s="368" t="str">
        <f>VLOOKUP(H1865,'Source Codes'!A$2:B$115,2,FALSE)</f>
        <v>AR Direct Cash Journal</v>
      </c>
      <c r="J1865" s="412">
        <v>4101321.63</v>
      </c>
      <c r="K1865" s="385">
        <v>45744</v>
      </c>
      <c r="L1865" s="387" t="s">
        <v>3073</v>
      </c>
      <c r="M1865" s="390">
        <v>45744.752071759256</v>
      </c>
      <c r="N1865" s="367" t="s">
        <v>356</v>
      </c>
      <c r="O1865" s="368" t="s">
        <v>371</v>
      </c>
      <c r="P1865" s="367" t="str">
        <f>IF(J1865&gt;0,"Revenue",IF(J1865&lt;0,"Expense"))</f>
        <v>Revenue</v>
      </c>
      <c r="Q1865" s="366" t="s">
        <v>2346</v>
      </c>
      <c r="R1865" s="366" t="s">
        <v>3072</v>
      </c>
      <c r="S1865" s="395">
        <v>750250</v>
      </c>
    </row>
    <row r="1866" spans="1:19" ht="15" hidden="1" outlineLevel="1">
      <c r="B1866" s="384">
        <v>2025</v>
      </c>
      <c r="C1866" s="384">
        <v>9</v>
      </c>
      <c r="D1866" s="367" t="s">
        <v>5</v>
      </c>
      <c r="E1866" s="367" t="s">
        <v>6</v>
      </c>
      <c r="F1866" s="389" t="s">
        <v>3067</v>
      </c>
      <c r="G1866" s="385">
        <v>45744</v>
      </c>
      <c r="H1866" s="367" t="s">
        <v>110</v>
      </c>
      <c r="I1866" s="368" t="str">
        <f>VLOOKUP(H1866,'Source Codes'!A$2:B$115,2,FALSE)</f>
        <v>Treasurers Interest Apportion</v>
      </c>
      <c r="J1866" s="412">
        <v>20851543.73</v>
      </c>
      <c r="K1866" s="385">
        <v>45744</v>
      </c>
      <c r="L1866" s="387" t="s">
        <v>3069</v>
      </c>
      <c r="M1866" s="390">
        <v>45744.510717592595</v>
      </c>
      <c r="N1866" s="367" t="s">
        <v>361</v>
      </c>
      <c r="O1866" s="368" t="s">
        <v>371</v>
      </c>
      <c r="P1866" s="367" t="str">
        <f>IF(J1866&gt;0,"Revenue",IF(J1866&lt;0,"Expense"))</f>
        <v>Revenue</v>
      </c>
      <c r="Q1866" s="366" t="s">
        <v>2363</v>
      </c>
      <c r="R1866" s="366" t="s">
        <v>3074</v>
      </c>
      <c r="S1866" s="395">
        <v>740020</v>
      </c>
    </row>
    <row r="1867" spans="1:19" ht="30" hidden="1" outlineLevel="1">
      <c r="B1867" s="384">
        <v>2025</v>
      </c>
      <c r="C1867" s="384">
        <v>9</v>
      </c>
      <c r="D1867" s="367" t="s">
        <v>5</v>
      </c>
      <c r="E1867" s="367" t="s">
        <v>6</v>
      </c>
      <c r="F1867" s="389" t="s">
        <v>3068</v>
      </c>
      <c r="G1867" s="385">
        <v>45737</v>
      </c>
      <c r="H1867" s="367" t="s">
        <v>9</v>
      </c>
      <c r="I1867" s="368" t="str">
        <f>VLOOKUP(H1867,'Source Codes'!A$2:B$115,2,FALSE)</f>
        <v>On Line Journal Entries</v>
      </c>
      <c r="J1867" s="412">
        <v>2064802</v>
      </c>
      <c r="K1867" s="385">
        <v>45744</v>
      </c>
      <c r="L1867" s="387" t="s">
        <v>3070</v>
      </c>
      <c r="M1867" s="390">
        <v>45744.664027777777</v>
      </c>
      <c r="N1867" s="367" t="s">
        <v>361</v>
      </c>
      <c r="O1867" s="368" t="s">
        <v>380</v>
      </c>
      <c r="P1867" s="367" t="str">
        <f>IF(J1867&gt;0,"Revenue",IF(J1867&lt;0,"Expense"))</f>
        <v>Revenue</v>
      </c>
      <c r="Q1867" s="366" t="s">
        <v>3075</v>
      </c>
      <c r="R1867" s="366" t="s">
        <v>3076</v>
      </c>
      <c r="S1867" s="395">
        <v>777470</v>
      </c>
    </row>
    <row r="1868" spans="1:19" ht="12.75" customHeight="1" collapsed="1">
      <c r="J1868" s="413">
        <f>SUM(J1864:J1867)</f>
        <v>29760188.73</v>
      </c>
    </row>
    <row r="1870" spans="1:19" ht="12.75" customHeight="1">
      <c r="A1870" s="378" t="s">
        <v>3077</v>
      </c>
    </row>
    <row r="1871" spans="1:19" ht="30" hidden="1" outlineLevel="1">
      <c r="B1871" s="384">
        <v>2025</v>
      </c>
      <c r="C1871" s="384">
        <v>9</v>
      </c>
      <c r="D1871" s="367" t="s">
        <v>5</v>
      </c>
      <c r="E1871" s="367" t="s">
        <v>6</v>
      </c>
      <c r="F1871" s="389" t="s">
        <v>3078</v>
      </c>
      <c r="G1871" s="385">
        <v>45747</v>
      </c>
      <c r="H1871" s="367" t="s">
        <v>14</v>
      </c>
      <c r="I1871" s="368" t="str">
        <f>VLOOKUP(H1871,'Source Codes'!A$2:B$115,2,FALSE)</f>
        <v>AP Warrant Issuance</v>
      </c>
      <c r="J1871" s="412">
        <v>-1671163.64</v>
      </c>
      <c r="K1871" s="385">
        <v>45747</v>
      </c>
      <c r="L1871" s="387" t="s">
        <v>3104</v>
      </c>
      <c r="M1871" s="390">
        <v>45747.793587962966</v>
      </c>
      <c r="N1871" s="367" t="s">
        <v>356</v>
      </c>
      <c r="O1871" s="368" t="s">
        <v>368</v>
      </c>
      <c r="P1871" s="367" t="str">
        <f t="shared" ref="P1871:P1888" si="19">IF(J1871&gt;0,"Revenue",IF(J1871&lt;0,"Expense"))</f>
        <v>Expense</v>
      </c>
      <c r="Q1871" s="366" t="s">
        <v>2154</v>
      </c>
      <c r="R1871" s="366" t="s">
        <v>2154</v>
      </c>
      <c r="S1871" s="395" t="s">
        <v>203</v>
      </c>
    </row>
    <row r="1872" spans="1:19" ht="30" hidden="1" outlineLevel="1">
      <c r="B1872" s="384">
        <v>2025</v>
      </c>
      <c r="C1872" s="384">
        <v>9</v>
      </c>
      <c r="D1872" s="367" t="s">
        <v>5</v>
      </c>
      <c r="E1872" s="367" t="s">
        <v>6</v>
      </c>
      <c r="F1872" s="389" t="s">
        <v>3079</v>
      </c>
      <c r="G1872" s="385">
        <v>45747</v>
      </c>
      <c r="H1872" s="367" t="s">
        <v>14</v>
      </c>
      <c r="I1872" s="368" t="str">
        <f>VLOOKUP(H1872,'Source Codes'!A$2:B$115,2,FALSE)</f>
        <v>AP Warrant Issuance</v>
      </c>
      <c r="J1872" s="412">
        <v>-1037905.75</v>
      </c>
      <c r="K1872" s="385">
        <v>45747</v>
      </c>
      <c r="L1872" s="387" t="s">
        <v>3106</v>
      </c>
      <c r="M1872" s="390">
        <v>45747.793587962966</v>
      </c>
      <c r="N1872" s="367" t="s">
        <v>359</v>
      </c>
      <c r="O1872" s="368" t="s">
        <v>376</v>
      </c>
      <c r="P1872" s="367" t="str">
        <f t="shared" si="19"/>
        <v>Expense</v>
      </c>
      <c r="Q1872" s="366" t="s">
        <v>3105</v>
      </c>
      <c r="R1872" s="366" t="s">
        <v>3105</v>
      </c>
      <c r="S1872" s="395" t="s">
        <v>203</v>
      </c>
    </row>
    <row r="1873" spans="2:19" ht="30" hidden="1" outlineLevel="1">
      <c r="B1873" s="384">
        <v>2025</v>
      </c>
      <c r="C1873" s="384">
        <v>9</v>
      </c>
      <c r="D1873" s="367" t="s">
        <v>5</v>
      </c>
      <c r="E1873" s="367" t="s">
        <v>6</v>
      </c>
      <c r="F1873" s="389" t="s">
        <v>3080</v>
      </c>
      <c r="G1873" s="385">
        <v>45747</v>
      </c>
      <c r="H1873" s="367" t="s">
        <v>11</v>
      </c>
      <c r="I1873" s="368" t="str">
        <f>VLOOKUP(H1873,'Source Codes'!A$2:B$115,2,FALSE)</f>
        <v>AR Payments</v>
      </c>
      <c r="J1873" s="412">
        <v>1458870.24</v>
      </c>
      <c r="K1873" s="385">
        <v>45747</v>
      </c>
      <c r="L1873" s="387" t="s">
        <v>394</v>
      </c>
      <c r="M1873" s="390">
        <v>45747.752546296295</v>
      </c>
      <c r="N1873" s="367" t="s">
        <v>356</v>
      </c>
      <c r="O1873" s="368" t="s">
        <v>357</v>
      </c>
      <c r="P1873" s="367" t="str">
        <f t="shared" si="19"/>
        <v>Revenue</v>
      </c>
      <c r="Q1873" s="366" t="s">
        <v>2157</v>
      </c>
      <c r="R1873" s="366" t="s">
        <v>2857</v>
      </c>
      <c r="S1873" s="395">
        <v>118501</v>
      </c>
    </row>
    <row r="1874" spans="2:19" ht="30" hidden="1" outlineLevel="1">
      <c r="B1874" s="384">
        <v>2025</v>
      </c>
      <c r="C1874" s="384">
        <v>9</v>
      </c>
      <c r="D1874" s="367" t="s">
        <v>5</v>
      </c>
      <c r="E1874" s="367" t="s">
        <v>6</v>
      </c>
      <c r="F1874" s="389" t="s">
        <v>3081</v>
      </c>
      <c r="G1874" s="385">
        <v>45737</v>
      </c>
      <c r="H1874" s="367" t="s">
        <v>9</v>
      </c>
      <c r="I1874" s="368" t="str">
        <f>VLOOKUP(H1874,'Source Codes'!A$2:B$115,2,FALSE)</f>
        <v>On Line Journal Entries</v>
      </c>
      <c r="J1874" s="412">
        <v>25849548</v>
      </c>
      <c r="K1874" s="385">
        <v>45747</v>
      </c>
      <c r="L1874" s="387" t="s">
        <v>10</v>
      </c>
      <c r="M1874" s="390">
        <v>45747.47550925926</v>
      </c>
      <c r="N1874" s="367" t="s">
        <v>356</v>
      </c>
      <c r="O1874" s="368" t="s">
        <v>364</v>
      </c>
      <c r="P1874" s="367" t="str">
        <f t="shared" si="19"/>
        <v>Revenue</v>
      </c>
      <c r="Q1874" s="366" t="s">
        <v>2232</v>
      </c>
      <c r="R1874" s="366" t="s">
        <v>2232</v>
      </c>
      <c r="S1874" s="395" t="s">
        <v>3107</v>
      </c>
    </row>
    <row r="1875" spans="2:19" ht="30" hidden="1" outlineLevel="1">
      <c r="B1875" s="384">
        <v>2025</v>
      </c>
      <c r="C1875" s="384">
        <v>9</v>
      </c>
      <c r="D1875" s="367" t="s">
        <v>5</v>
      </c>
      <c r="E1875" s="367" t="s">
        <v>6</v>
      </c>
      <c r="F1875" s="389" t="s">
        <v>3082</v>
      </c>
      <c r="G1875" s="385">
        <v>45736</v>
      </c>
      <c r="H1875" s="367" t="s">
        <v>9</v>
      </c>
      <c r="I1875" s="368" t="str">
        <f>VLOOKUP(H1875,'Source Codes'!A$2:B$115,2,FALSE)</f>
        <v>On Line Journal Entries</v>
      </c>
      <c r="J1875" s="412">
        <v>20924066.190000001</v>
      </c>
      <c r="K1875" s="385">
        <v>45747</v>
      </c>
      <c r="L1875" s="387" t="s">
        <v>3096</v>
      </c>
      <c r="M1875" s="390">
        <v>45747.871458333335</v>
      </c>
      <c r="N1875" s="367" t="s">
        <v>356</v>
      </c>
      <c r="O1875" s="368" t="s">
        <v>371</v>
      </c>
      <c r="P1875" s="367" t="str">
        <f t="shared" si="19"/>
        <v>Revenue</v>
      </c>
      <c r="Q1875" s="366" t="s">
        <v>2158</v>
      </c>
      <c r="R1875" s="366" t="s">
        <v>3108</v>
      </c>
      <c r="S1875" s="395">
        <v>755120</v>
      </c>
    </row>
    <row r="1876" spans="2:19" ht="30" hidden="1" outlineLevel="1">
      <c r="B1876" s="384">
        <v>2025</v>
      </c>
      <c r="C1876" s="384">
        <v>9</v>
      </c>
      <c r="D1876" s="367" t="s">
        <v>5</v>
      </c>
      <c r="E1876" s="367" t="s">
        <v>6</v>
      </c>
      <c r="F1876" s="389" t="s">
        <v>3083</v>
      </c>
      <c r="G1876" s="385">
        <v>45741</v>
      </c>
      <c r="H1876" s="367" t="s">
        <v>9</v>
      </c>
      <c r="I1876" s="368" t="str">
        <f>VLOOKUP(H1876,'Source Codes'!A$2:B$115,2,FALSE)</f>
        <v>On Line Journal Entries</v>
      </c>
      <c r="J1876" s="412">
        <v>17001022.609999999</v>
      </c>
      <c r="K1876" s="385">
        <v>45747</v>
      </c>
      <c r="L1876" s="387" t="s">
        <v>3097</v>
      </c>
      <c r="M1876" s="390">
        <v>45747.871458333335</v>
      </c>
      <c r="N1876" s="367" t="s">
        <v>361</v>
      </c>
      <c r="O1876" s="368" t="s">
        <v>368</v>
      </c>
      <c r="P1876" s="367" t="str">
        <f t="shared" si="19"/>
        <v>Revenue</v>
      </c>
      <c r="Q1876" s="366" t="s">
        <v>2869</v>
      </c>
      <c r="R1876" s="366" t="s">
        <v>2326</v>
      </c>
      <c r="S1876" s="395">
        <v>755926</v>
      </c>
    </row>
    <row r="1877" spans="2:19" ht="30" hidden="1" outlineLevel="1">
      <c r="B1877" s="384">
        <v>2025</v>
      </c>
      <c r="C1877" s="384">
        <v>9</v>
      </c>
      <c r="D1877" s="367" t="s">
        <v>5</v>
      </c>
      <c r="E1877" s="367" t="s">
        <v>6</v>
      </c>
      <c r="F1877" s="389" t="s">
        <v>3084</v>
      </c>
      <c r="G1877" s="385">
        <v>45737</v>
      </c>
      <c r="H1877" s="367" t="s">
        <v>9</v>
      </c>
      <c r="I1877" s="368" t="str">
        <f>VLOOKUP(H1877,'Source Codes'!A$2:B$115,2,FALSE)</f>
        <v>On Line Journal Entries</v>
      </c>
      <c r="J1877" s="412">
        <v>12165070.76</v>
      </c>
      <c r="K1877" s="385">
        <v>45747</v>
      </c>
      <c r="L1877" s="387" t="s">
        <v>344</v>
      </c>
      <c r="M1877" s="390">
        <v>45747.871458333335</v>
      </c>
      <c r="N1877" s="367" t="s">
        <v>356</v>
      </c>
      <c r="O1877" s="368" t="s">
        <v>364</v>
      </c>
      <c r="P1877" s="367" t="str">
        <f t="shared" si="19"/>
        <v>Revenue</v>
      </c>
      <c r="Q1877" s="366" t="s">
        <v>2232</v>
      </c>
      <c r="R1877" s="366" t="s">
        <v>2232</v>
      </c>
      <c r="S1877" s="395" t="s">
        <v>2533</v>
      </c>
    </row>
    <row r="1878" spans="2:19" ht="45" hidden="1" outlineLevel="1">
      <c r="B1878" s="384">
        <v>2025</v>
      </c>
      <c r="C1878" s="384">
        <v>9</v>
      </c>
      <c r="D1878" s="367" t="s">
        <v>5</v>
      </c>
      <c r="E1878" s="367" t="s">
        <v>6</v>
      </c>
      <c r="F1878" s="389" t="s">
        <v>3085</v>
      </c>
      <c r="G1878" s="385">
        <v>45736</v>
      </c>
      <c r="H1878" s="367" t="s">
        <v>9</v>
      </c>
      <c r="I1878" s="368" t="str">
        <f>VLOOKUP(H1878,'Source Codes'!A$2:B$115,2,FALSE)</f>
        <v>On Line Journal Entries</v>
      </c>
      <c r="J1878" s="412">
        <v>10043992</v>
      </c>
      <c r="K1878" s="385">
        <v>45747</v>
      </c>
      <c r="L1878" s="387" t="s">
        <v>3098</v>
      </c>
      <c r="M1878" s="390">
        <v>45747.871458333335</v>
      </c>
      <c r="N1878" s="367" t="s">
        <v>356</v>
      </c>
      <c r="O1878" s="368" t="s">
        <v>371</v>
      </c>
      <c r="P1878" s="367" t="str">
        <f t="shared" si="19"/>
        <v>Revenue</v>
      </c>
      <c r="Q1878" s="366" t="s">
        <v>2427</v>
      </c>
      <c r="R1878" s="366" t="s">
        <v>3109</v>
      </c>
      <c r="S1878" s="395" t="s">
        <v>2160</v>
      </c>
    </row>
    <row r="1879" spans="2:19" ht="30" hidden="1" outlineLevel="1">
      <c r="B1879" s="384">
        <v>2025</v>
      </c>
      <c r="C1879" s="384">
        <v>9</v>
      </c>
      <c r="D1879" s="367" t="s">
        <v>5</v>
      </c>
      <c r="E1879" s="367" t="s">
        <v>6</v>
      </c>
      <c r="F1879" s="389" t="s">
        <v>3086</v>
      </c>
      <c r="G1879" s="385">
        <v>45737</v>
      </c>
      <c r="H1879" s="367" t="s">
        <v>9</v>
      </c>
      <c r="I1879" s="368" t="str">
        <f>VLOOKUP(H1879,'Source Codes'!A$2:B$115,2,FALSE)</f>
        <v>On Line Journal Entries</v>
      </c>
      <c r="J1879" s="412">
        <v>8202785</v>
      </c>
      <c r="K1879" s="385">
        <v>45747</v>
      </c>
      <c r="L1879" s="387" t="s">
        <v>344</v>
      </c>
      <c r="M1879" s="390">
        <v>45747.871458333335</v>
      </c>
      <c r="N1879" s="367" t="s">
        <v>356</v>
      </c>
      <c r="O1879" s="368" t="s">
        <v>364</v>
      </c>
      <c r="P1879" s="367" t="str">
        <f t="shared" si="19"/>
        <v>Revenue</v>
      </c>
      <c r="Q1879" s="366" t="s">
        <v>2232</v>
      </c>
      <c r="R1879" s="366" t="s">
        <v>2232</v>
      </c>
      <c r="S1879" s="395" t="s">
        <v>2533</v>
      </c>
    </row>
    <row r="1880" spans="2:19" ht="30" hidden="1" outlineLevel="1">
      <c r="B1880" s="384">
        <v>2025</v>
      </c>
      <c r="C1880" s="384">
        <v>9</v>
      </c>
      <c r="D1880" s="367" t="s">
        <v>5</v>
      </c>
      <c r="E1880" s="367" t="s">
        <v>6</v>
      </c>
      <c r="F1880" s="389" t="s">
        <v>3087</v>
      </c>
      <c r="G1880" s="385">
        <v>45737</v>
      </c>
      <c r="H1880" s="367" t="s">
        <v>9</v>
      </c>
      <c r="I1880" s="368" t="str">
        <f>VLOOKUP(H1880,'Source Codes'!A$2:B$115,2,FALSE)</f>
        <v>On Line Journal Entries</v>
      </c>
      <c r="J1880" s="412">
        <v>7132852</v>
      </c>
      <c r="K1880" s="385">
        <v>45747</v>
      </c>
      <c r="L1880" s="387" t="s">
        <v>344</v>
      </c>
      <c r="M1880" s="390">
        <v>45747.871458333335</v>
      </c>
      <c r="N1880" s="367" t="s">
        <v>356</v>
      </c>
      <c r="O1880" s="368" t="s">
        <v>364</v>
      </c>
      <c r="P1880" s="367" t="str">
        <f t="shared" si="19"/>
        <v>Revenue</v>
      </c>
      <c r="Q1880" s="366" t="s">
        <v>2232</v>
      </c>
      <c r="R1880" s="366" t="s">
        <v>2232</v>
      </c>
      <c r="S1880" s="395" t="s">
        <v>2533</v>
      </c>
    </row>
    <row r="1881" spans="2:19" ht="30" hidden="1" outlineLevel="1">
      <c r="B1881" s="384">
        <v>2025</v>
      </c>
      <c r="C1881" s="384">
        <v>9</v>
      </c>
      <c r="D1881" s="367" t="s">
        <v>5</v>
      </c>
      <c r="E1881" s="367" t="s">
        <v>6</v>
      </c>
      <c r="F1881" s="389" t="s">
        <v>3088</v>
      </c>
      <c r="G1881" s="385">
        <v>45737</v>
      </c>
      <c r="H1881" s="367" t="s">
        <v>9</v>
      </c>
      <c r="I1881" s="368" t="str">
        <f>VLOOKUP(H1881,'Source Codes'!A$2:B$115,2,FALSE)</f>
        <v>On Line Journal Entries</v>
      </c>
      <c r="J1881" s="412">
        <v>7099307</v>
      </c>
      <c r="K1881" s="385">
        <v>45747</v>
      </c>
      <c r="L1881" s="387" t="s">
        <v>344</v>
      </c>
      <c r="M1881" s="390">
        <v>45747.871458333335</v>
      </c>
      <c r="N1881" s="367" t="s">
        <v>356</v>
      </c>
      <c r="O1881" s="368" t="s">
        <v>364</v>
      </c>
      <c r="P1881" s="367" t="str">
        <f t="shared" si="19"/>
        <v>Revenue</v>
      </c>
      <c r="Q1881" s="366" t="s">
        <v>2232</v>
      </c>
      <c r="R1881" s="366" t="s">
        <v>2232</v>
      </c>
      <c r="S1881" s="395" t="s">
        <v>2533</v>
      </c>
    </row>
    <row r="1882" spans="2:19" ht="45" hidden="1" outlineLevel="1">
      <c r="B1882" s="384">
        <v>2025</v>
      </c>
      <c r="C1882" s="384">
        <v>9</v>
      </c>
      <c r="D1882" s="367" t="s">
        <v>5</v>
      </c>
      <c r="E1882" s="367" t="s">
        <v>6</v>
      </c>
      <c r="F1882" s="389" t="s">
        <v>3089</v>
      </c>
      <c r="G1882" s="385">
        <v>45720</v>
      </c>
      <c r="H1882" s="367" t="s">
        <v>9</v>
      </c>
      <c r="I1882" s="368" t="str">
        <f>VLOOKUP(H1882,'Source Codes'!A$2:B$115,2,FALSE)</f>
        <v>On Line Journal Entries</v>
      </c>
      <c r="J1882" s="412">
        <v>5994870</v>
      </c>
      <c r="K1882" s="385">
        <v>45747</v>
      </c>
      <c r="L1882" s="387" t="s">
        <v>352</v>
      </c>
      <c r="M1882" s="390">
        <v>45747.871458333335</v>
      </c>
      <c r="N1882" s="367" t="s">
        <v>356</v>
      </c>
      <c r="O1882" s="368" t="s">
        <v>364</v>
      </c>
      <c r="P1882" s="367" t="str">
        <f t="shared" si="19"/>
        <v>Revenue</v>
      </c>
      <c r="Q1882" s="366" t="s">
        <v>2232</v>
      </c>
      <c r="R1882" s="366" t="s">
        <v>2232</v>
      </c>
      <c r="S1882" s="395" t="s">
        <v>2789</v>
      </c>
    </row>
    <row r="1883" spans="2:19" ht="60" hidden="1" outlineLevel="1">
      <c r="B1883" s="384">
        <v>2025</v>
      </c>
      <c r="C1883" s="384">
        <v>9</v>
      </c>
      <c r="D1883" s="367" t="s">
        <v>5</v>
      </c>
      <c r="E1883" s="367" t="s">
        <v>6</v>
      </c>
      <c r="F1883" s="389" t="s">
        <v>3090</v>
      </c>
      <c r="G1883" s="385">
        <v>45736</v>
      </c>
      <c r="H1883" s="367" t="s">
        <v>9</v>
      </c>
      <c r="I1883" s="368" t="str">
        <f>VLOOKUP(H1883,'Source Codes'!A$2:B$115,2,FALSE)</f>
        <v>On Line Journal Entries</v>
      </c>
      <c r="J1883" s="412">
        <v>3348859.09</v>
      </c>
      <c r="K1883" s="385">
        <v>45747</v>
      </c>
      <c r="L1883" s="387" t="s">
        <v>3099</v>
      </c>
      <c r="M1883" s="390">
        <v>45747.871458333335</v>
      </c>
      <c r="N1883" s="367" t="s">
        <v>356</v>
      </c>
      <c r="O1883" s="368" t="s">
        <v>371</v>
      </c>
      <c r="P1883" s="367" t="str">
        <f t="shared" si="19"/>
        <v>Revenue</v>
      </c>
      <c r="Q1883" s="366" t="s">
        <v>2163</v>
      </c>
      <c r="R1883" s="366" t="s">
        <v>3110</v>
      </c>
      <c r="S1883" s="395">
        <v>750900</v>
      </c>
    </row>
    <row r="1884" spans="2:19" ht="30" hidden="1" outlineLevel="1">
      <c r="B1884" s="384">
        <v>2025</v>
      </c>
      <c r="C1884" s="384">
        <v>9</v>
      </c>
      <c r="D1884" s="367" t="s">
        <v>5</v>
      </c>
      <c r="E1884" s="367" t="s">
        <v>6</v>
      </c>
      <c r="F1884" s="389" t="s">
        <v>3091</v>
      </c>
      <c r="G1884" s="385">
        <v>45737</v>
      </c>
      <c r="H1884" s="367" t="s">
        <v>9</v>
      </c>
      <c r="I1884" s="368" t="str">
        <f>VLOOKUP(H1884,'Source Codes'!A$2:B$115,2,FALSE)</f>
        <v>On Line Journal Entries</v>
      </c>
      <c r="J1884" s="412">
        <v>2821879</v>
      </c>
      <c r="K1884" s="385">
        <v>45747</v>
      </c>
      <c r="L1884" s="387" t="s">
        <v>344</v>
      </c>
      <c r="M1884" s="390">
        <v>45747.871458333335</v>
      </c>
      <c r="N1884" s="367" t="s">
        <v>356</v>
      </c>
      <c r="O1884" s="368" t="s">
        <v>364</v>
      </c>
      <c r="P1884" s="367" t="str">
        <f t="shared" si="19"/>
        <v>Revenue</v>
      </c>
      <c r="Q1884" s="366" t="s">
        <v>2232</v>
      </c>
      <c r="R1884" s="366" t="s">
        <v>2232</v>
      </c>
      <c r="S1884" s="395" t="s">
        <v>2533</v>
      </c>
    </row>
    <row r="1885" spans="2:19" ht="15" hidden="1" outlineLevel="1">
      <c r="B1885" s="384">
        <v>2025</v>
      </c>
      <c r="C1885" s="384">
        <v>9</v>
      </c>
      <c r="D1885" s="367" t="s">
        <v>5</v>
      </c>
      <c r="E1885" s="367" t="s">
        <v>6</v>
      </c>
      <c r="F1885" s="389" t="s">
        <v>3092</v>
      </c>
      <c r="G1885" s="385">
        <v>45736</v>
      </c>
      <c r="H1885" s="367" t="s">
        <v>9</v>
      </c>
      <c r="I1885" s="368" t="str">
        <f>VLOOKUP(H1885,'Source Codes'!A$2:B$115,2,FALSE)</f>
        <v>On Line Journal Entries</v>
      </c>
      <c r="J1885" s="412">
        <v>1450324.94</v>
      </c>
      <c r="K1885" s="385">
        <v>45747</v>
      </c>
      <c r="L1885" s="387" t="s">
        <v>3100</v>
      </c>
      <c r="M1885" s="390">
        <v>45747.871458333335</v>
      </c>
      <c r="N1885" s="367" t="s">
        <v>356</v>
      </c>
      <c r="O1885" s="368" t="s">
        <v>371</v>
      </c>
      <c r="P1885" s="367" t="str">
        <f t="shared" si="19"/>
        <v>Revenue</v>
      </c>
      <c r="Q1885" s="366" t="s">
        <v>2164</v>
      </c>
      <c r="R1885" s="397" t="s">
        <v>3111</v>
      </c>
      <c r="S1885" s="395">
        <v>755909</v>
      </c>
    </row>
    <row r="1886" spans="2:19" ht="15" hidden="1" outlineLevel="1">
      <c r="B1886" s="384">
        <v>2025</v>
      </c>
      <c r="C1886" s="384">
        <v>9</v>
      </c>
      <c r="D1886" s="367" t="s">
        <v>5</v>
      </c>
      <c r="E1886" s="367" t="s">
        <v>6</v>
      </c>
      <c r="F1886" s="389" t="s">
        <v>3093</v>
      </c>
      <c r="G1886" s="385">
        <v>45722</v>
      </c>
      <c r="H1886" s="367" t="s">
        <v>9</v>
      </c>
      <c r="I1886" s="368" t="str">
        <f>VLOOKUP(H1886,'Source Codes'!A$2:B$115,2,FALSE)</f>
        <v>On Line Journal Entries</v>
      </c>
      <c r="J1886" s="412">
        <v>-1542083</v>
      </c>
      <c r="K1886" s="385">
        <v>45747</v>
      </c>
      <c r="L1886" s="387" t="s">
        <v>3101</v>
      </c>
      <c r="M1886" s="390">
        <v>45747.871458333335</v>
      </c>
      <c r="N1886" s="367" t="s">
        <v>356</v>
      </c>
      <c r="O1886" s="368" t="s">
        <v>368</v>
      </c>
      <c r="P1886" s="367" t="str">
        <f t="shared" si="19"/>
        <v>Expense</v>
      </c>
      <c r="Q1886" s="366" t="s">
        <v>2219</v>
      </c>
      <c r="R1886" s="366" t="s">
        <v>3112</v>
      </c>
      <c r="S1886" s="395">
        <v>530280</v>
      </c>
    </row>
    <row r="1887" spans="2:19" ht="30" hidden="1" outlineLevel="1">
      <c r="B1887" s="384">
        <v>2025</v>
      </c>
      <c r="C1887" s="384">
        <v>9</v>
      </c>
      <c r="D1887" s="367" t="s">
        <v>5</v>
      </c>
      <c r="E1887" s="367" t="s">
        <v>6</v>
      </c>
      <c r="F1887" s="389" t="s">
        <v>3094</v>
      </c>
      <c r="G1887" s="385">
        <v>45736</v>
      </c>
      <c r="H1887" s="367" t="s">
        <v>9</v>
      </c>
      <c r="I1887" s="368" t="str">
        <f>VLOOKUP(H1887,'Source Codes'!A$2:B$115,2,FALSE)</f>
        <v>On Line Journal Entries</v>
      </c>
      <c r="J1887" s="412">
        <v>-3009665.79</v>
      </c>
      <c r="K1887" s="385">
        <v>45747</v>
      </c>
      <c r="L1887" s="387" t="s">
        <v>3102</v>
      </c>
      <c r="M1887" s="390">
        <v>45747.871458333335</v>
      </c>
      <c r="N1887" s="367" t="s">
        <v>356</v>
      </c>
      <c r="O1887" s="368" t="s">
        <v>371</v>
      </c>
      <c r="P1887" s="367" t="str">
        <f t="shared" si="19"/>
        <v>Expense</v>
      </c>
      <c r="Q1887" s="366" t="s">
        <v>2429</v>
      </c>
      <c r="R1887" s="366" t="s">
        <v>3113</v>
      </c>
      <c r="S1887" s="395" t="s">
        <v>2166</v>
      </c>
    </row>
    <row r="1888" spans="2:19" ht="45" hidden="1" outlineLevel="1">
      <c r="B1888" s="384">
        <v>2025</v>
      </c>
      <c r="C1888" s="384">
        <v>9</v>
      </c>
      <c r="D1888" s="367" t="s">
        <v>5</v>
      </c>
      <c r="E1888" s="367" t="s">
        <v>6</v>
      </c>
      <c r="F1888" s="389" t="s">
        <v>3095</v>
      </c>
      <c r="G1888" s="385">
        <v>45722</v>
      </c>
      <c r="H1888" s="367" t="s">
        <v>9</v>
      </c>
      <c r="I1888" s="368" t="str">
        <f>VLOOKUP(H1888,'Source Codes'!A$2:B$115,2,FALSE)</f>
        <v>On Line Journal Entries</v>
      </c>
      <c r="J1888" s="412">
        <v>-6660875</v>
      </c>
      <c r="K1888" s="385">
        <v>45747</v>
      </c>
      <c r="L1888" s="387" t="s">
        <v>3103</v>
      </c>
      <c r="M1888" s="390">
        <v>45747.52888888889</v>
      </c>
      <c r="N1888" s="367" t="s">
        <v>356</v>
      </c>
      <c r="O1888" s="368" t="s">
        <v>368</v>
      </c>
      <c r="P1888" s="367" t="str">
        <f t="shared" si="19"/>
        <v>Expense</v>
      </c>
      <c r="Q1888" s="366" t="s">
        <v>2270</v>
      </c>
      <c r="R1888" s="366" t="s">
        <v>3114</v>
      </c>
      <c r="S1888" s="395">
        <v>530280</v>
      </c>
    </row>
    <row r="1889" spans="1:19" ht="12.75" customHeight="1" collapsed="1">
      <c r="J1889" s="413">
        <f>SUM(J1871:J1888)</f>
        <v>109571753.65000001</v>
      </c>
      <c r="P1889" s="367"/>
    </row>
    <row r="1891" spans="1:19" ht="12.75" customHeight="1">
      <c r="A1891" s="378" t="s">
        <v>3115</v>
      </c>
    </row>
    <row r="1892" spans="1:19" ht="60" hidden="1" outlineLevel="1">
      <c r="B1892" s="384">
        <v>2025</v>
      </c>
      <c r="C1892" s="384">
        <v>10</v>
      </c>
      <c r="D1892" s="367" t="s">
        <v>5</v>
      </c>
      <c r="E1892" s="367" t="s">
        <v>6</v>
      </c>
      <c r="F1892" s="389" t="s">
        <v>3116</v>
      </c>
      <c r="G1892" s="385">
        <v>45748</v>
      </c>
      <c r="H1892" s="367" t="s">
        <v>14</v>
      </c>
      <c r="I1892" s="368" t="str">
        <f>VLOOKUP(H1892,'Source Codes'!A$2:B$115,2,FALSE)</f>
        <v>AP Warrant Issuance</v>
      </c>
      <c r="J1892" s="412">
        <v>-61668529.32</v>
      </c>
      <c r="K1892" s="385">
        <v>45748</v>
      </c>
      <c r="L1892" s="387" t="s">
        <v>3119</v>
      </c>
      <c r="M1892" s="390">
        <v>45748.793587962966</v>
      </c>
      <c r="N1892" s="367" t="s">
        <v>361</v>
      </c>
      <c r="O1892" s="368" t="s">
        <v>370</v>
      </c>
      <c r="P1892" s="367" t="str">
        <f>IF(J1892&gt;0,"Revenue",IF(J1892&lt;0,"Expense"))</f>
        <v>Expense</v>
      </c>
      <c r="Q1892" s="366" t="s">
        <v>2975</v>
      </c>
      <c r="R1892" s="366" t="s">
        <v>2447</v>
      </c>
      <c r="S1892" s="395">
        <v>525440</v>
      </c>
    </row>
    <row r="1893" spans="1:19" ht="105" hidden="1" outlineLevel="1">
      <c r="B1893" s="384">
        <v>2025</v>
      </c>
      <c r="C1893" s="384">
        <v>10</v>
      </c>
      <c r="D1893" s="367" t="s">
        <v>5</v>
      </c>
      <c r="E1893" s="367" t="s">
        <v>6</v>
      </c>
      <c r="F1893" s="389" t="s">
        <v>3117</v>
      </c>
      <c r="G1893" s="385">
        <v>45750</v>
      </c>
      <c r="H1893" s="367" t="s">
        <v>14</v>
      </c>
      <c r="I1893" s="368" t="str">
        <f>VLOOKUP(H1893,'Source Codes'!A$2:B$115,2,FALSE)</f>
        <v>AP Warrant Issuance</v>
      </c>
      <c r="J1893" s="412">
        <v>-4176833.31</v>
      </c>
      <c r="K1893" s="385">
        <v>45748</v>
      </c>
      <c r="L1893" s="387" t="s">
        <v>3121</v>
      </c>
      <c r="M1893" s="390">
        <v>45748.793587962966</v>
      </c>
      <c r="N1893" s="367" t="s">
        <v>507</v>
      </c>
      <c r="O1893" s="368" t="s">
        <v>358</v>
      </c>
      <c r="P1893" s="367" t="str">
        <f>IF(J1893&gt;0,"Revenue",IF(J1893&lt;0,"Expense"))</f>
        <v>Expense</v>
      </c>
      <c r="Q1893" s="366" t="s">
        <v>3120</v>
      </c>
      <c r="R1893" s="366" t="s">
        <v>3120</v>
      </c>
      <c r="S1893" s="395">
        <v>536200</v>
      </c>
    </row>
    <row r="1894" spans="1:19" ht="30" hidden="1" outlineLevel="1">
      <c r="B1894" s="384">
        <v>2025</v>
      </c>
      <c r="C1894" s="384">
        <v>9</v>
      </c>
      <c r="D1894" s="367" t="s">
        <v>5</v>
      </c>
      <c r="E1894" s="367" t="s">
        <v>6</v>
      </c>
      <c r="F1894" s="389" t="s">
        <v>3118</v>
      </c>
      <c r="G1894" s="385">
        <v>45747</v>
      </c>
      <c r="H1894" s="367" t="s">
        <v>12</v>
      </c>
      <c r="I1894" s="368" t="str">
        <f>VLOOKUP(H1894,'Source Codes'!A$2:B$115,2,FALSE)</f>
        <v>AR Direct Cash Journal</v>
      </c>
      <c r="J1894" s="412">
        <v>1648223.91</v>
      </c>
      <c r="K1894" s="385">
        <v>45748</v>
      </c>
      <c r="L1894" s="387" t="s">
        <v>3122</v>
      </c>
      <c r="M1894" s="390">
        <v>45748.752187500002</v>
      </c>
      <c r="N1894" s="367" t="s">
        <v>361</v>
      </c>
      <c r="O1894" s="368" t="s">
        <v>368</v>
      </c>
      <c r="P1894" s="367" t="str">
        <f>IF(J1894&gt;0,"Revenue",IF(J1894&lt;0,"Expense"))</f>
        <v>Revenue</v>
      </c>
      <c r="Q1894" s="366" t="s">
        <v>2177</v>
      </c>
      <c r="R1894" s="366" t="s">
        <v>3123</v>
      </c>
      <c r="S1894" s="395" t="s">
        <v>3124</v>
      </c>
    </row>
    <row r="1895" spans="1:19" ht="12.75" customHeight="1" collapsed="1">
      <c r="J1895" s="413">
        <f>SUM(J1892:J1894)</f>
        <v>-64197138.720000006</v>
      </c>
    </row>
    <row r="1897" spans="1:19" ht="12.75" customHeight="1">
      <c r="A1897" s="378" t="s">
        <v>3125</v>
      </c>
    </row>
    <row r="1898" spans="1:19" ht="30" hidden="1" outlineLevel="1">
      <c r="B1898" s="384">
        <v>2025</v>
      </c>
      <c r="C1898" s="384">
        <v>10</v>
      </c>
      <c r="D1898" s="367" t="s">
        <v>5</v>
      </c>
      <c r="E1898" s="367" t="s">
        <v>6</v>
      </c>
      <c r="F1898" s="389" t="s">
        <v>3126</v>
      </c>
      <c r="G1898" s="385">
        <v>45749</v>
      </c>
      <c r="H1898" s="367" t="s">
        <v>14</v>
      </c>
      <c r="I1898" s="368" t="str">
        <f>VLOOKUP(H1898,'Source Codes'!A$2:B$115,2,FALSE)</f>
        <v>AP Warrant Issuance</v>
      </c>
      <c r="J1898" s="412">
        <v>-2270987.41</v>
      </c>
      <c r="K1898" s="385">
        <v>45749</v>
      </c>
      <c r="L1898" s="387" t="s">
        <v>3142</v>
      </c>
      <c r="M1898" s="390">
        <v>45749.793599537035</v>
      </c>
      <c r="N1898" s="367" t="s">
        <v>356</v>
      </c>
      <c r="O1898" s="368" t="s">
        <v>368</v>
      </c>
      <c r="P1898" s="367" t="str">
        <f t="shared" ref="P1898:P1906" si="20">IF(J1898&gt;0,"Revenue",IF(J1898&lt;0,"Expense"))</f>
        <v>Expense</v>
      </c>
      <c r="Q1898" s="366" t="s">
        <v>2154</v>
      </c>
      <c r="R1898" s="366" t="s">
        <v>2154</v>
      </c>
      <c r="S1898" s="395" t="s">
        <v>203</v>
      </c>
    </row>
    <row r="1899" spans="1:19" ht="30" hidden="1" outlineLevel="1">
      <c r="B1899" s="384">
        <v>2025</v>
      </c>
      <c r="C1899" s="384">
        <v>10</v>
      </c>
      <c r="D1899" s="367" t="s">
        <v>5</v>
      </c>
      <c r="E1899" s="367" t="s">
        <v>6</v>
      </c>
      <c r="F1899" s="389" t="s">
        <v>3127</v>
      </c>
      <c r="G1899" s="385">
        <v>45751</v>
      </c>
      <c r="H1899" s="367" t="s">
        <v>14</v>
      </c>
      <c r="I1899" s="368" t="str">
        <f>VLOOKUP(H1899,'Source Codes'!A$2:B$115,2,FALSE)</f>
        <v>AP Warrant Issuance</v>
      </c>
      <c r="J1899" s="412">
        <v>-1548704.84</v>
      </c>
      <c r="K1899" s="385">
        <v>45749</v>
      </c>
      <c r="L1899" s="387" t="s">
        <v>3143</v>
      </c>
      <c r="M1899" s="390">
        <v>45749.793599537035</v>
      </c>
      <c r="N1899" s="367" t="s">
        <v>356</v>
      </c>
      <c r="O1899" s="368" t="s">
        <v>368</v>
      </c>
      <c r="P1899" s="367" t="str">
        <f t="shared" si="20"/>
        <v>Expense</v>
      </c>
      <c r="Q1899" s="366" t="s">
        <v>2154</v>
      </c>
      <c r="R1899" s="366" t="s">
        <v>2154</v>
      </c>
      <c r="S1899" s="395" t="s">
        <v>203</v>
      </c>
    </row>
    <row r="1900" spans="1:19" ht="30" hidden="1" outlineLevel="1">
      <c r="B1900" s="384">
        <v>2025</v>
      </c>
      <c r="C1900" s="384">
        <v>10</v>
      </c>
      <c r="D1900" s="367" t="s">
        <v>5</v>
      </c>
      <c r="E1900" s="367" t="s">
        <v>6</v>
      </c>
      <c r="F1900" s="389" t="s">
        <v>3128</v>
      </c>
      <c r="G1900" s="385">
        <v>45748</v>
      </c>
      <c r="H1900" s="367" t="s">
        <v>9</v>
      </c>
      <c r="I1900" s="368" t="str">
        <f>VLOOKUP(H1900,'Source Codes'!A$2:B$115,2,FALSE)</f>
        <v>On Line Journal Entries</v>
      </c>
      <c r="J1900" s="412">
        <v>46597087.369999997</v>
      </c>
      <c r="K1900" s="385">
        <v>45749</v>
      </c>
      <c r="L1900" s="387" t="s">
        <v>3135</v>
      </c>
      <c r="M1900" s="390">
        <v>45749.870358796295</v>
      </c>
      <c r="N1900" s="367" t="s">
        <v>361</v>
      </c>
      <c r="O1900" s="368" t="s">
        <v>368</v>
      </c>
      <c r="P1900" s="367" t="str">
        <f t="shared" si="20"/>
        <v>Revenue</v>
      </c>
      <c r="Q1900" s="366" t="s">
        <v>3145</v>
      </c>
      <c r="R1900" s="366" t="s">
        <v>3146</v>
      </c>
      <c r="S1900" s="395" t="s">
        <v>3144</v>
      </c>
    </row>
    <row r="1901" spans="1:19" ht="15" hidden="1" outlineLevel="1">
      <c r="B1901" s="384">
        <v>2025</v>
      </c>
      <c r="C1901" s="384">
        <v>9</v>
      </c>
      <c r="D1901" s="367" t="s">
        <v>5</v>
      </c>
      <c r="E1901" s="367" t="s">
        <v>6</v>
      </c>
      <c r="F1901" s="389" t="s">
        <v>3129</v>
      </c>
      <c r="G1901" s="385">
        <v>45742</v>
      </c>
      <c r="H1901" s="367" t="s">
        <v>9</v>
      </c>
      <c r="I1901" s="368" t="str">
        <f>VLOOKUP(H1901,'Source Codes'!A$2:B$115,2,FALSE)</f>
        <v>On Line Journal Entries</v>
      </c>
      <c r="J1901" s="412">
        <v>45388531.630000003</v>
      </c>
      <c r="K1901" s="385">
        <v>45749</v>
      </c>
      <c r="L1901" s="387" t="s">
        <v>3136</v>
      </c>
      <c r="M1901" s="390">
        <v>45749.40729166667</v>
      </c>
      <c r="N1901" s="367" t="s">
        <v>356</v>
      </c>
      <c r="O1901" s="368" t="s">
        <v>368</v>
      </c>
      <c r="P1901" s="367" t="str">
        <f t="shared" si="20"/>
        <v>Revenue</v>
      </c>
      <c r="Q1901" s="366" t="s">
        <v>2662</v>
      </c>
      <c r="R1901" s="366" t="s">
        <v>2639</v>
      </c>
      <c r="S1901" s="395">
        <v>751040</v>
      </c>
    </row>
    <row r="1902" spans="1:19" ht="30" hidden="1" outlineLevel="1">
      <c r="B1902" s="384">
        <v>2025</v>
      </c>
      <c r="C1902" s="384">
        <v>9</v>
      </c>
      <c r="D1902" s="367" t="s">
        <v>5</v>
      </c>
      <c r="E1902" s="367" t="s">
        <v>6</v>
      </c>
      <c r="F1902" s="389" t="s">
        <v>3130</v>
      </c>
      <c r="G1902" s="385">
        <v>45736</v>
      </c>
      <c r="H1902" s="367" t="s">
        <v>9</v>
      </c>
      <c r="I1902" s="368" t="str">
        <f>VLOOKUP(H1902,'Source Codes'!A$2:B$115,2,FALSE)</f>
        <v>On Line Journal Entries</v>
      </c>
      <c r="J1902" s="412">
        <v>38176803.600000001</v>
      </c>
      <c r="K1902" s="385">
        <v>45749</v>
      </c>
      <c r="L1902" s="387" t="s">
        <v>3137</v>
      </c>
      <c r="M1902" s="390">
        <v>45749.348020833335</v>
      </c>
      <c r="N1902" s="367" t="s">
        <v>377</v>
      </c>
      <c r="O1902" s="368" t="s">
        <v>370</v>
      </c>
      <c r="P1902" s="367" t="str">
        <f t="shared" si="20"/>
        <v>Revenue</v>
      </c>
      <c r="Q1902" s="366" t="s">
        <v>2619</v>
      </c>
      <c r="R1902" s="366" t="s">
        <v>2620</v>
      </c>
      <c r="S1902" s="395">
        <v>778120</v>
      </c>
    </row>
    <row r="1903" spans="1:19" ht="30" hidden="1" outlineLevel="1">
      <c r="B1903" s="384">
        <v>2025</v>
      </c>
      <c r="C1903" s="384">
        <v>9</v>
      </c>
      <c r="D1903" s="367" t="s">
        <v>5</v>
      </c>
      <c r="E1903" s="367" t="s">
        <v>6</v>
      </c>
      <c r="F1903" s="389" t="s">
        <v>3131</v>
      </c>
      <c r="G1903" s="385">
        <v>45742</v>
      </c>
      <c r="H1903" s="367" t="s">
        <v>9</v>
      </c>
      <c r="I1903" s="368" t="str">
        <f>VLOOKUP(H1903,'Source Codes'!A$2:B$115,2,FALSE)</f>
        <v>On Line Journal Entries</v>
      </c>
      <c r="J1903" s="412">
        <v>21345431</v>
      </c>
      <c r="K1903" s="385">
        <v>45749</v>
      </c>
      <c r="L1903" s="387" t="s">
        <v>3138</v>
      </c>
      <c r="M1903" s="390">
        <v>45749.650821759256</v>
      </c>
      <c r="N1903" s="367" t="s">
        <v>2185</v>
      </c>
      <c r="O1903" s="368" t="s">
        <v>368</v>
      </c>
      <c r="P1903" s="367" t="str">
        <f t="shared" si="20"/>
        <v>Revenue</v>
      </c>
      <c r="Q1903" s="366" t="s">
        <v>3147</v>
      </c>
      <c r="R1903" s="366" t="s">
        <v>3148</v>
      </c>
      <c r="S1903" s="395" t="s">
        <v>3149</v>
      </c>
    </row>
    <row r="1904" spans="1:19" ht="30" hidden="1" outlineLevel="1">
      <c r="B1904" s="384">
        <v>2025</v>
      </c>
      <c r="C1904" s="384">
        <v>10</v>
      </c>
      <c r="D1904" s="367" t="s">
        <v>5</v>
      </c>
      <c r="E1904" s="367" t="s">
        <v>6</v>
      </c>
      <c r="F1904" s="389" t="s">
        <v>3132</v>
      </c>
      <c r="G1904" s="385">
        <v>45749</v>
      </c>
      <c r="H1904" s="367" t="s">
        <v>9</v>
      </c>
      <c r="I1904" s="368" t="str">
        <f>VLOOKUP(H1904,'Source Codes'!A$2:B$115,2,FALSE)</f>
        <v>On Line Journal Entries</v>
      </c>
      <c r="J1904" s="412">
        <v>9888390</v>
      </c>
      <c r="K1904" s="385">
        <v>45749</v>
      </c>
      <c r="L1904" s="387" t="s">
        <v>3139</v>
      </c>
      <c r="M1904" s="390">
        <v>45749.352905092594</v>
      </c>
      <c r="N1904" s="367" t="s">
        <v>361</v>
      </c>
      <c r="O1904" s="368" t="s">
        <v>357</v>
      </c>
      <c r="P1904" s="367" t="str">
        <f t="shared" si="20"/>
        <v>Revenue</v>
      </c>
      <c r="Q1904" s="366" t="s">
        <v>2671</v>
      </c>
      <c r="R1904" s="366" t="s">
        <v>3150</v>
      </c>
      <c r="S1904" s="395">
        <v>755900</v>
      </c>
    </row>
    <row r="1905" spans="1:19" ht="15" hidden="1" outlineLevel="1">
      <c r="B1905" s="384">
        <v>2025</v>
      </c>
      <c r="C1905" s="384">
        <v>10</v>
      </c>
      <c r="D1905" s="367" t="s">
        <v>5</v>
      </c>
      <c r="E1905" s="367" t="s">
        <v>6</v>
      </c>
      <c r="F1905" s="389" t="s">
        <v>3133</v>
      </c>
      <c r="G1905" s="385">
        <v>45748</v>
      </c>
      <c r="H1905" s="367" t="s">
        <v>13</v>
      </c>
      <c r="I1905" s="368" t="str">
        <f>VLOOKUP(H1905,'Source Codes'!A$2:B$115,2,FALSE)</f>
        <v>C-IV Voucher/Payments/EBT</v>
      </c>
      <c r="J1905" s="412">
        <v>-11739728.470000001</v>
      </c>
      <c r="K1905" s="385">
        <v>45749</v>
      </c>
      <c r="L1905" s="387" t="s">
        <v>3140</v>
      </c>
      <c r="M1905" s="390">
        <v>45749.870381944442</v>
      </c>
      <c r="N1905" s="367" t="s">
        <v>356</v>
      </c>
      <c r="O1905" s="368" t="s">
        <v>364</v>
      </c>
      <c r="P1905" s="367" t="str">
        <f t="shared" si="20"/>
        <v>Expense</v>
      </c>
      <c r="Q1905" s="366" t="s">
        <v>2204</v>
      </c>
      <c r="R1905" s="393">
        <v>45717</v>
      </c>
      <c r="S1905" s="395">
        <v>530480</v>
      </c>
    </row>
    <row r="1906" spans="1:19" ht="15" hidden="1" outlineLevel="1">
      <c r="B1906" s="384">
        <v>2025</v>
      </c>
      <c r="C1906" s="384">
        <v>10</v>
      </c>
      <c r="D1906" s="367" t="s">
        <v>5</v>
      </c>
      <c r="E1906" s="367" t="s">
        <v>6</v>
      </c>
      <c r="F1906" s="389" t="s">
        <v>3134</v>
      </c>
      <c r="G1906" s="385">
        <v>45748</v>
      </c>
      <c r="H1906" s="367" t="s">
        <v>13</v>
      </c>
      <c r="I1906" s="368" t="str">
        <f>VLOOKUP(H1906,'Source Codes'!A$2:B$115,2,FALSE)</f>
        <v>C-IV Voucher/Payments/EBT</v>
      </c>
      <c r="J1906" s="412">
        <v>-17010230.260000002</v>
      </c>
      <c r="K1906" s="385">
        <v>45749</v>
      </c>
      <c r="L1906" s="387" t="s">
        <v>3141</v>
      </c>
      <c r="M1906" s="390">
        <v>45749.870381944442</v>
      </c>
      <c r="N1906" s="367" t="s">
        <v>356</v>
      </c>
      <c r="O1906" s="368" t="s">
        <v>364</v>
      </c>
      <c r="P1906" s="367" t="str">
        <f t="shared" si="20"/>
        <v>Expense</v>
      </c>
      <c r="Q1906" s="366" t="s">
        <v>2204</v>
      </c>
      <c r="R1906" s="393">
        <v>45748</v>
      </c>
      <c r="S1906" s="395">
        <v>530480</v>
      </c>
    </row>
    <row r="1907" spans="1:19" ht="12.75" customHeight="1" collapsed="1">
      <c r="J1907" s="413">
        <f>SUM(J1898:J1906)</f>
        <v>128826592.61999999</v>
      </c>
    </row>
    <row r="1909" spans="1:19" ht="12.75" customHeight="1">
      <c r="A1909" s="378" t="s">
        <v>3151</v>
      </c>
    </row>
    <row r="1910" spans="1:19" ht="30" hidden="1" outlineLevel="2">
      <c r="B1910" s="384">
        <v>2025</v>
      </c>
      <c r="C1910" s="384">
        <v>10</v>
      </c>
      <c r="D1910" s="367" t="s">
        <v>5</v>
      </c>
      <c r="E1910" s="367" t="s">
        <v>6</v>
      </c>
      <c r="F1910" s="389" t="s">
        <v>3152</v>
      </c>
      <c r="G1910" s="385">
        <v>45750</v>
      </c>
      <c r="H1910" s="367" t="s">
        <v>14</v>
      </c>
      <c r="I1910" s="368" t="str">
        <f>VLOOKUP(H1910,'Source Codes'!A$2:B$115,2,FALSE)</f>
        <v>AP Warrant Issuance</v>
      </c>
      <c r="J1910" s="412">
        <v>-2393025.9500000002</v>
      </c>
      <c r="K1910" s="385">
        <v>45750</v>
      </c>
      <c r="L1910" s="387" t="s">
        <v>3154</v>
      </c>
      <c r="M1910" s="390">
        <v>45750.793645833335</v>
      </c>
      <c r="N1910" s="367" t="s">
        <v>356</v>
      </c>
      <c r="O1910" s="368" t="s">
        <v>368</v>
      </c>
      <c r="P1910" s="367" t="str">
        <f>IF(J1910&gt;0,"Revenue",IF(J1910&lt;0,"Expense"))</f>
        <v>Expense</v>
      </c>
      <c r="Q1910" s="366" t="s">
        <v>2154</v>
      </c>
      <c r="R1910" s="366" t="s">
        <v>2154</v>
      </c>
      <c r="S1910" s="395" t="s">
        <v>203</v>
      </c>
    </row>
    <row r="1911" spans="1:19" ht="30" hidden="1" outlineLevel="2">
      <c r="B1911" s="384">
        <v>2025</v>
      </c>
      <c r="C1911" s="384">
        <v>10</v>
      </c>
      <c r="D1911" s="367" t="s">
        <v>5</v>
      </c>
      <c r="E1911" s="367" t="s">
        <v>6</v>
      </c>
      <c r="F1911" s="389" t="s">
        <v>3153</v>
      </c>
      <c r="G1911" s="385">
        <v>45750</v>
      </c>
      <c r="H1911" s="367" t="s">
        <v>12</v>
      </c>
      <c r="I1911" s="368" t="str">
        <f>VLOOKUP(H1911,'Source Codes'!A$2:B$115,2,FALSE)</f>
        <v>AR Direct Cash Journal</v>
      </c>
      <c r="J1911" s="412">
        <v>1603275.33</v>
      </c>
      <c r="K1911" s="385">
        <v>45750</v>
      </c>
      <c r="L1911" s="387" t="s">
        <v>2788</v>
      </c>
      <c r="M1911" s="390">
        <v>45750.751921296294</v>
      </c>
      <c r="N1911" s="367" t="s">
        <v>356</v>
      </c>
      <c r="O1911" s="368" t="s">
        <v>370</v>
      </c>
      <c r="P1911" s="367" t="str">
        <f>IF(J1911&gt;0,"Revenue",IF(J1911&lt;0,"Expense"))</f>
        <v>Revenue</v>
      </c>
      <c r="Q1911" s="366" t="s">
        <v>2264</v>
      </c>
      <c r="R1911" s="366" t="s">
        <v>2265</v>
      </c>
      <c r="S1911" s="395" t="s">
        <v>203</v>
      </c>
    </row>
    <row r="1912" spans="1:19" ht="12.75" customHeight="1" collapsed="1">
      <c r="J1912" s="413">
        <f>SUM(J1910:J1911)</f>
        <v>-789750.62000000011</v>
      </c>
    </row>
    <row r="1914" spans="1:19" ht="12.75" customHeight="1">
      <c r="A1914" s="378" t="s">
        <v>3155</v>
      </c>
    </row>
    <row r="1915" spans="1:19" ht="30" hidden="1" outlineLevel="1">
      <c r="B1915" s="384">
        <v>2025</v>
      </c>
      <c r="C1915" s="384">
        <v>10</v>
      </c>
      <c r="D1915" s="367" t="s">
        <v>5</v>
      </c>
      <c r="E1915" s="367" t="s">
        <v>6</v>
      </c>
      <c r="F1915" s="389" t="s">
        <v>3156</v>
      </c>
      <c r="G1915" s="385">
        <v>45751</v>
      </c>
      <c r="H1915" s="367" t="s">
        <v>14</v>
      </c>
      <c r="I1915" s="368" t="str">
        <f>VLOOKUP(H1915,'Source Codes'!A$2:B$115,2,FALSE)</f>
        <v>AP Warrant Issuance</v>
      </c>
      <c r="J1915" s="412">
        <v>-2269840.79</v>
      </c>
      <c r="K1915" s="385">
        <v>45751</v>
      </c>
      <c r="L1915" s="387" t="s">
        <v>3158</v>
      </c>
      <c r="M1915" s="390">
        <v>45751.793773148151</v>
      </c>
      <c r="N1915" s="367" t="s">
        <v>356</v>
      </c>
      <c r="O1915" s="368" t="s">
        <v>368</v>
      </c>
      <c r="P1915" s="367" t="str">
        <f>IF(J1915&gt;0,"Revenue",IF(J1915&lt;0,"Expense"))</f>
        <v>Expense</v>
      </c>
      <c r="Q1915" s="366" t="s">
        <v>2154</v>
      </c>
      <c r="R1915" s="366" t="s">
        <v>2154</v>
      </c>
      <c r="S1915" s="395" t="s">
        <v>203</v>
      </c>
    </row>
    <row r="1916" spans="1:19" ht="30" hidden="1" outlineLevel="1">
      <c r="B1916" s="384">
        <v>2025</v>
      </c>
      <c r="C1916" s="384">
        <v>10</v>
      </c>
      <c r="D1916" s="367" t="s">
        <v>5</v>
      </c>
      <c r="E1916" s="367" t="s">
        <v>6</v>
      </c>
      <c r="F1916" s="389" t="s">
        <v>3157</v>
      </c>
      <c r="G1916" s="385">
        <v>45749</v>
      </c>
      <c r="H1916" s="367" t="s">
        <v>11</v>
      </c>
      <c r="I1916" s="368" t="str">
        <f>VLOOKUP(H1916,'Source Codes'!A$2:B$115,2,FALSE)</f>
        <v>AR Payments</v>
      </c>
      <c r="J1916" s="412">
        <v>1195265.45</v>
      </c>
      <c r="K1916" s="385">
        <v>45751</v>
      </c>
      <c r="L1916" s="387" t="s">
        <v>3160</v>
      </c>
      <c r="M1916" s="390">
        <v>45751.752233796295</v>
      </c>
      <c r="N1916" s="367" t="s">
        <v>356</v>
      </c>
      <c r="O1916" s="368" t="s">
        <v>357</v>
      </c>
      <c r="P1916" s="367" t="str">
        <f>IF(J1916&gt;0,"Revenue",IF(J1916&lt;0,"Expense"))</f>
        <v>Revenue</v>
      </c>
      <c r="Q1916" s="366" t="s">
        <v>2157</v>
      </c>
      <c r="R1916" s="366" t="s">
        <v>2857</v>
      </c>
      <c r="S1916" s="395" t="s">
        <v>3159</v>
      </c>
    </row>
    <row r="1917" spans="1:19" ht="12.75" customHeight="1" collapsed="1">
      <c r="J1917" s="413">
        <f>SUM(J1915:J1916)</f>
        <v>-1074575.3400000001</v>
      </c>
    </row>
    <row r="1919" spans="1:19" ht="12.75" customHeight="1">
      <c r="A1919" s="378" t="s">
        <v>3161</v>
      </c>
    </row>
    <row r="1920" spans="1:19" ht="15" hidden="1" outlineLevel="1">
      <c r="B1920" s="384">
        <v>2025</v>
      </c>
      <c r="C1920" s="384">
        <v>10</v>
      </c>
      <c r="D1920" s="367" t="s">
        <v>5</v>
      </c>
      <c r="E1920" s="367" t="s">
        <v>6</v>
      </c>
      <c r="F1920" s="389" t="s">
        <v>3162</v>
      </c>
      <c r="G1920" s="385">
        <v>45751</v>
      </c>
      <c r="H1920" s="367" t="s">
        <v>12</v>
      </c>
      <c r="I1920" s="368" t="str">
        <f>VLOOKUP(H1920,'Source Codes'!A$2:B$115,2,FALSE)</f>
        <v>AR Direct Cash Journal</v>
      </c>
      <c r="J1920" s="412">
        <v>2051979.79</v>
      </c>
      <c r="K1920" s="385">
        <v>45754</v>
      </c>
      <c r="L1920" s="387" t="s">
        <v>3171</v>
      </c>
      <c r="M1920" s="390">
        <v>45754.752152777779</v>
      </c>
      <c r="N1920" s="367" t="s">
        <v>356</v>
      </c>
      <c r="O1920" s="368" t="s">
        <v>370</v>
      </c>
      <c r="P1920" s="367" t="str">
        <f t="shared" ref="P1920:P1925" si="21">IF(J1920&gt;0,"Revenue",IF(J1920&lt;0,"Expense"))</f>
        <v>Revenue</v>
      </c>
      <c r="Q1920" s="366" t="s">
        <v>2264</v>
      </c>
      <c r="R1920" s="366" t="s">
        <v>2265</v>
      </c>
      <c r="S1920" s="395">
        <v>779120</v>
      </c>
    </row>
    <row r="1921" spans="1:19" ht="30" hidden="1" outlineLevel="1">
      <c r="B1921" s="384">
        <v>2025</v>
      </c>
      <c r="C1921" s="384">
        <v>10</v>
      </c>
      <c r="D1921" s="367" t="s">
        <v>5</v>
      </c>
      <c r="E1921" s="367" t="s">
        <v>6</v>
      </c>
      <c r="F1921" s="389" t="s">
        <v>3163</v>
      </c>
      <c r="G1921" s="385">
        <v>45748</v>
      </c>
      <c r="H1921" s="367" t="s">
        <v>9</v>
      </c>
      <c r="I1921" s="368" t="str">
        <f>VLOOKUP(H1921,'Source Codes'!A$2:B$115,2,FALSE)</f>
        <v>On Line Journal Entries</v>
      </c>
      <c r="J1921" s="412">
        <v>2323383.85</v>
      </c>
      <c r="K1921" s="385">
        <v>45754</v>
      </c>
      <c r="L1921" s="387" t="s">
        <v>3168</v>
      </c>
      <c r="M1921" s="390">
        <v>45754.60528935185</v>
      </c>
      <c r="N1921" s="367" t="s">
        <v>361</v>
      </c>
      <c r="O1921" s="368" t="s">
        <v>373</v>
      </c>
      <c r="P1921" s="367" t="str">
        <f t="shared" si="21"/>
        <v>Revenue</v>
      </c>
      <c r="Q1921" s="366" t="s">
        <v>2565</v>
      </c>
      <c r="R1921" s="366" t="s">
        <v>3174</v>
      </c>
      <c r="S1921" s="395" t="s">
        <v>2564</v>
      </c>
    </row>
    <row r="1922" spans="1:19" ht="45" hidden="1" outlineLevel="1">
      <c r="B1922" s="384">
        <v>2025</v>
      </c>
      <c r="C1922" s="384">
        <v>10</v>
      </c>
      <c r="D1922" s="367" t="s">
        <v>5</v>
      </c>
      <c r="E1922" s="367" t="s">
        <v>6</v>
      </c>
      <c r="F1922" s="389" t="s">
        <v>3164</v>
      </c>
      <c r="G1922" s="385">
        <v>45749</v>
      </c>
      <c r="H1922" s="367" t="s">
        <v>9</v>
      </c>
      <c r="I1922" s="368" t="str">
        <f>VLOOKUP(H1922,'Source Codes'!A$2:B$115,2,FALSE)</f>
        <v>On Line Journal Entries</v>
      </c>
      <c r="J1922" s="412">
        <v>-1688447.25</v>
      </c>
      <c r="K1922" s="385">
        <v>45754</v>
      </c>
      <c r="L1922" s="387" t="s">
        <v>3169</v>
      </c>
      <c r="M1922" s="390">
        <v>45754.807442129626</v>
      </c>
      <c r="N1922" s="367" t="s">
        <v>361</v>
      </c>
      <c r="O1922" s="368" t="s">
        <v>362</v>
      </c>
      <c r="P1922" s="367" t="str">
        <f t="shared" si="21"/>
        <v>Expense</v>
      </c>
      <c r="Q1922" s="366" t="s">
        <v>3172</v>
      </c>
      <c r="R1922" s="366" t="s">
        <v>3173</v>
      </c>
      <c r="S1922" s="395">
        <v>525440</v>
      </c>
    </row>
    <row r="1923" spans="1:19" ht="15" hidden="1" outlineLevel="1">
      <c r="B1923" s="384">
        <v>2025</v>
      </c>
      <c r="C1923" s="384">
        <v>10</v>
      </c>
      <c r="D1923" s="367" t="s">
        <v>5</v>
      </c>
      <c r="E1923" s="367" t="s">
        <v>6</v>
      </c>
      <c r="F1923" s="389" t="s">
        <v>3165</v>
      </c>
      <c r="G1923" s="385">
        <v>45749</v>
      </c>
      <c r="H1923" s="367" t="s">
        <v>7</v>
      </c>
      <c r="I1923" s="368" t="str">
        <f>VLOOKUP(H1923,'Source Codes'!A$2:B$115,2,FALSE)</f>
        <v>HRMS Interface Journals</v>
      </c>
      <c r="J1923" s="412">
        <v>-2527732.7200000002</v>
      </c>
      <c r="K1923" s="385">
        <v>45754</v>
      </c>
      <c r="L1923" s="387" t="s">
        <v>409</v>
      </c>
      <c r="M1923" s="390">
        <v>45754.356516203705</v>
      </c>
      <c r="N1923" s="367" t="s">
        <v>378</v>
      </c>
      <c r="O1923" s="368" t="s">
        <v>379</v>
      </c>
      <c r="P1923" s="367" t="str">
        <f t="shared" si="21"/>
        <v>Expense</v>
      </c>
      <c r="Q1923" s="366" t="s">
        <v>379</v>
      </c>
      <c r="R1923" s="366" t="s">
        <v>3170</v>
      </c>
      <c r="S1923" s="395">
        <v>513120</v>
      </c>
    </row>
    <row r="1924" spans="1:19" ht="15" hidden="1" outlineLevel="1">
      <c r="B1924" s="384">
        <v>2025</v>
      </c>
      <c r="C1924" s="384">
        <v>10</v>
      </c>
      <c r="D1924" s="367" t="s">
        <v>5</v>
      </c>
      <c r="E1924" s="367" t="s">
        <v>6</v>
      </c>
      <c r="F1924" s="389" t="s">
        <v>3166</v>
      </c>
      <c r="G1924" s="385">
        <v>45749</v>
      </c>
      <c r="H1924" s="367" t="s">
        <v>7</v>
      </c>
      <c r="I1924" s="368" t="str">
        <f>VLOOKUP(H1924,'Source Codes'!A$2:B$115,2,FALSE)</f>
        <v>HRMS Interface Journals</v>
      </c>
      <c r="J1924" s="412">
        <v>-11153150.779999999</v>
      </c>
      <c r="K1924" s="385">
        <v>45754</v>
      </c>
      <c r="L1924" s="387" t="s">
        <v>407</v>
      </c>
      <c r="M1924" s="390">
        <v>45754.340219907404</v>
      </c>
      <c r="N1924" s="367" t="s">
        <v>378</v>
      </c>
      <c r="O1924" s="368" t="s">
        <v>379</v>
      </c>
      <c r="P1924" s="367" t="str">
        <f t="shared" si="21"/>
        <v>Expense</v>
      </c>
      <c r="Q1924" s="366" t="s">
        <v>379</v>
      </c>
      <c r="R1924" s="366" t="s">
        <v>3170</v>
      </c>
      <c r="S1924" s="395" t="s">
        <v>203</v>
      </c>
    </row>
    <row r="1925" spans="1:19" ht="15" hidden="1" outlineLevel="1">
      <c r="B1925" s="384">
        <v>2025</v>
      </c>
      <c r="C1925" s="384">
        <v>10</v>
      </c>
      <c r="D1925" s="367" t="s">
        <v>5</v>
      </c>
      <c r="E1925" s="367" t="s">
        <v>6</v>
      </c>
      <c r="F1925" s="389" t="s">
        <v>3167</v>
      </c>
      <c r="G1925" s="385">
        <v>45749</v>
      </c>
      <c r="H1925" s="367" t="s">
        <v>7</v>
      </c>
      <c r="I1925" s="368" t="str">
        <f>VLOOKUP(H1925,'Source Codes'!A$2:B$115,2,FALSE)</f>
        <v>HRMS Interface Journals</v>
      </c>
      <c r="J1925" s="412">
        <v>-70083829.069999993</v>
      </c>
      <c r="K1925" s="385">
        <v>45754</v>
      </c>
      <c r="L1925" s="387" t="s">
        <v>406</v>
      </c>
      <c r="M1925" s="390">
        <v>45754.358935185184</v>
      </c>
      <c r="N1925" s="367" t="s">
        <v>378</v>
      </c>
      <c r="O1925" s="368" t="s">
        <v>371</v>
      </c>
      <c r="P1925" s="367" t="str">
        <f t="shared" si="21"/>
        <v>Expense</v>
      </c>
      <c r="Q1925" s="366" t="s">
        <v>379</v>
      </c>
      <c r="R1925" s="366" t="s">
        <v>3170</v>
      </c>
      <c r="S1925" s="395" t="s">
        <v>203</v>
      </c>
    </row>
    <row r="1926" spans="1:19" ht="12.75" customHeight="1" collapsed="1">
      <c r="J1926" s="413">
        <f>SUM(J1920:J1925)</f>
        <v>-81077796.179999992</v>
      </c>
    </row>
    <row r="1928" spans="1:19" ht="12.75" customHeight="1">
      <c r="A1928" s="378" t="s">
        <v>3175</v>
      </c>
    </row>
    <row r="1929" spans="1:19" ht="60" hidden="1" outlineLevel="1">
      <c r="B1929" s="384">
        <v>2025</v>
      </c>
      <c r="C1929" s="384">
        <v>10</v>
      </c>
      <c r="D1929" s="367" t="s">
        <v>5</v>
      </c>
      <c r="E1929" s="367" t="s">
        <v>6</v>
      </c>
      <c r="F1929" s="389" t="s">
        <v>3176</v>
      </c>
      <c r="G1929" s="385">
        <v>45755</v>
      </c>
      <c r="H1929" s="367" t="s">
        <v>14</v>
      </c>
      <c r="I1929" s="368" t="str">
        <f>VLOOKUP(H1929,'Source Codes'!A$2:B$115,2,FALSE)</f>
        <v>AP Warrant Issuance</v>
      </c>
      <c r="J1929" s="412">
        <v>-9173522.2699999996</v>
      </c>
      <c r="K1929" s="385">
        <v>45755</v>
      </c>
      <c r="L1929" s="387" t="s">
        <v>3181</v>
      </c>
      <c r="M1929" s="390">
        <v>45755.793715277781</v>
      </c>
      <c r="N1929" s="367" t="s">
        <v>356</v>
      </c>
      <c r="O1929" s="368" t="s">
        <v>364</v>
      </c>
      <c r="P1929" s="367" t="str">
        <f>IF(J1929&gt;0,"Revenue",IF(J1929&lt;0,"Expense"))</f>
        <v>Expense</v>
      </c>
      <c r="Q1929" s="366" t="s">
        <v>2748</v>
      </c>
      <c r="R1929" s="393">
        <v>45748</v>
      </c>
      <c r="S1929" s="395">
        <v>530440</v>
      </c>
    </row>
    <row r="1930" spans="1:19" ht="45" hidden="1" outlineLevel="1">
      <c r="B1930" s="384">
        <v>2025</v>
      </c>
      <c r="C1930" s="384">
        <v>10</v>
      </c>
      <c r="D1930" s="367" t="s">
        <v>5</v>
      </c>
      <c r="E1930" s="367" t="s">
        <v>6</v>
      </c>
      <c r="F1930" s="389" t="s">
        <v>3177</v>
      </c>
      <c r="G1930" s="385">
        <v>45750</v>
      </c>
      <c r="H1930" s="367" t="s">
        <v>12</v>
      </c>
      <c r="I1930" s="368" t="str">
        <f>VLOOKUP(H1930,'Source Codes'!A$2:B$115,2,FALSE)</f>
        <v>AR Direct Cash Journal</v>
      </c>
      <c r="J1930" s="412">
        <v>4790776.6900000004</v>
      </c>
      <c r="K1930" s="385">
        <v>45755</v>
      </c>
      <c r="L1930" s="387" t="s">
        <v>3183</v>
      </c>
      <c r="M1930" s="390">
        <v>45755.75203703704</v>
      </c>
      <c r="N1930" s="367" t="s">
        <v>356</v>
      </c>
      <c r="O1930" s="368" t="s">
        <v>370</v>
      </c>
      <c r="P1930" s="367" t="str">
        <f>IF(J1930&gt;0,"Revenue",IF(J1930&lt;0,"Expense"))</f>
        <v>Revenue</v>
      </c>
      <c r="Q1930" s="366" t="s">
        <v>2264</v>
      </c>
      <c r="R1930" s="366" t="s">
        <v>2265</v>
      </c>
      <c r="S1930" s="395" t="s">
        <v>203</v>
      </c>
    </row>
    <row r="1931" spans="1:19" ht="45" hidden="1" outlineLevel="1">
      <c r="B1931" s="384">
        <v>2025</v>
      </c>
      <c r="C1931" s="384">
        <v>10</v>
      </c>
      <c r="D1931" s="367" t="s">
        <v>5</v>
      </c>
      <c r="E1931" s="367" t="s">
        <v>6</v>
      </c>
      <c r="F1931" s="389" t="s">
        <v>3178</v>
      </c>
      <c r="G1931" s="385">
        <v>45751</v>
      </c>
      <c r="H1931" s="367" t="s">
        <v>9</v>
      </c>
      <c r="I1931" s="368" t="str">
        <f>VLOOKUP(H1931,'Source Codes'!A$2:B$115,2,FALSE)</f>
        <v>On Line Journal Entries</v>
      </c>
      <c r="J1931" s="412">
        <v>-1471436.19</v>
      </c>
      <c r="K1931" s="385">
        <v>45755</v>
      </c>
      <c r="L1931" s="387" t="s">
        <v>3184</v>
      </c>
      <c r="M1931" s="390">
        <v>45755.87027777778</v>
      </c>
      <c r="N1931" s="367" t="s">
        <v>361</v>
      </c>
      <c r="O1931" s="368" t="s">
        <v>358</v>
      </c>
      <c r="P1931" s="367" t="str">
        <f>IF(J1931&gt;0,"Revenue",IF(J1931&lt;0,"Expense"))</f>
        <v>Expense</v>
      </c>
      <c r="Q1931" s="366" t="s">
        <v>3185</v>
      </c>
      <c r="R1931" s="366" t="s">
        <v>3185</v>
      </c>
      <c r="S1931" s="395">
        <v>551100</v>
      </c>
    </row>
    <row r="1932" spans="1:19" ht="15" hidden="1" outlineLevel="1">
      <c r="B1932" s="384">
        <v>2025</v>
      </c>
      <c r="C1932" s="384">
        <v>10</v>
      </c>
      <c r="D1932" s="367" t="s">
        <v>5</v>
      </c>
      <c r="E1932" s="367" t="s">
        <v>6</v>
      </c>
      <c r="F1932" s="389" t="s">
        <v>3179</v>
      </c>
      <c r="G1932" s="385">
        <v>45748</v>
      </c>
      <c r="H1932" s="367" t="s">
        <v>9</v>
      </c>
      <c r="I1932" s="368" t="str">
        <f>VLOOKUP(H1932,'Source Codes'!A$2:B$115,2,FALSE)</f>
        <v>On Line Journal Entries</v>
      </c>
      <c r="J1932" s="412">
        <v>-12248033.98</v>
      </c>
      <c r="K1932" s="385">
        <v>45755</v>
      </c>
      <c r="L1932" s="387" t="s">
        <v>3180</v>
      </c>
      <c r="M1932" s="390">
        <v>45755.795567129629</v>
      </c>
      <c r="N1932" s="367" t="s">
        <v>361</v>
      </c>
      <c r="O1932" s="368" t="s">
        <v>373</v>
      </c>
      <c r="P1932" s="367" t="str">
        <f>IF(J1932&gt;0,"Revenue",IF(J1932&lt;0,"Expense"))</f>
        <v>Expense</v>
      </c>
      <c r="Q1932" s="366" t="s">
        <v>2517</v>
      </c>
      <c r="R1932" s="366" t="s">
        <v>3186</v>
      </c>
      <c r="S1932" s="395">
        <v>517000</v>
      </c>
    </row>
    <row r="1933" spans="1:19" ht="12.75" customHeight="1" collapsed="1">
      <c r="J1933" s="413">
        <f>SUM(J1929:J1932)</f>
        <v>-18102215.75</v>
      </c>
    </row>
    <row r="1935" spans="1:19" ht="12.75" customHeight="1">
      <c r="A1935" s="378" t="s">
        <v>3187</v>
      </c>
    </row>
    <row r="1936" spans="1:19" ht="30" hidden="1" outlineLevel="1">
      <c r="B1936" s="384">
        <v>2025</v>
      </c>
      <c r="C1936" s="384">
        <v>10</v>
      </c>
      <c r="D1936" s="367" t="s">
        <v>5</v>
      </c>
      <c r="E1936" s="367" t="s">
        <v>6</v>
      </c>
      <c r="F1936" s="389" t="s">
        <v>3188</v>
      </c>
      <c r="G1936" s="385">
        <v>45758</v>
      </c>
      <c r="H1936" s="367" t="s">
        <v>14</v>
      </c>
      <c r="I1936" s="368" t="str">
        <f>VLOOKUP(H1936,'Source Codes'!A$2:B$115,2,FALSE)</f>
        <v>AP Warrant Issuance</v>
      </c>
      <c r="J1936" s="412">
        <v>-1350788.04</v>
      </c>
      <c r="K1936" s="385">
        <v>45756</v>
      </c>
      <c r="L1936" s="387" t="s">
        <v>3191</v>
      </c>
      <c r="M1936" s="390">
        <v>45756.793854166666</v>
      </c>
      <c r="N1936" s="367" t="s">
        <v>356</v>
      </c>
      <c r="O1936" s="368" t="s">
        <v>368</v>
      </c>
      <c r="P1936" s="367" t="str">
        <f>IF(J1936&gt;0,"Revenue",IF(J1936&lt;0,"Expense"))</f>
        <v>Expense</v>
      </c>
      <c r="Q1936" s="366" t="s">
        <v>2154</v>
      </c>
      <c r="R1936" s="366" t="s">
        <v>2154</v>
      </c>
      <c r="S1936" s="366" t="s">
        <v>203</v>
      </c>
    </row>
    <row r="1937" spans="1:19" ht="12.75" hidden="1" customHeight="1" outlineLevel="1">
      <c r="B1937" s="384">
        <v>2025</v>
      </c>
      <c r="C1937" s="384">
        <v>10</v>
      </c>
      <c r="D1937" s="367" t="s">
        <v>5</v>
      </c>
      <c r="E1937" s="367" t="s">
        <v>6</v>
      </c>
      <c r="F1937" s="389" t="s">
        <v>3189</v>
      </c>
      <c r="G1937" s="385">
        <v>45748</v>
      </c>
      <c r="H1937" s="367" t="s">
        <v>13</v>
      </c>
      <c r="I1937" s="368" t="str">
        <f>VLOOKUP(H1937,'Source Codes'!A$2:B$115,2,FALSE)</f>
        <v>C-IV Voucher/Payments/EBT</v>
      </c>
      <c r="J1937" s="412">
        <v>-9818757.3399999999</v>
      </c>
      <c r="K1937" s="385">
        <v>45756</v>
      </c>
      <c r="L1937" s="387" t="s">
        <v>3190</v>
      </c>
      <c r="M1937" s="390">
        <v>45756.323807870373</v>
      </c>
      <c r="N1937" s="367" t="s">
        <v>356</v>
      </c>
      <c r="O1937" s="368" t="s">
        <v>364</v>
      </c>
      <c r="P1937" s="367" t="str">
        <f>IF(J1937&gt;0,"Revenue",IF(J1937&lt;0,"Expense"))</f>
        <v>Expense</v>
      </c>
      <c r="Q1937" s="366" t="s">
        <v>2204</v>
      </c>
      <c r="R1937" s="393">
        <v>45748</v>
      </c>
      <c r="S1937" s="395">
        <v>530480</v>
      </c>
    </row>
    <row r="1938" spans="1:19" ht="12.75" customHeight="1" collapsed="1">
      <c r="J1938" s="413">
        <f>SUM(J1936:J1937)</f>
        <v>-11169545.379999999</v>
      </c>
    </row>
    <row r="1940" spans="1:19" ht="12.75" customHeight="1">
      <c r="A1940" s="378" t="s">
        <v>3192</v>
      </c>
    </row>
    <row r="1941" spans="1:19" ht="60" hidden="1" outlineLevel="1">
      <c r="B1941" s="384">
        <v>2025</v>
      </c>
      <c r="C1941" s="384">
        <v>10</v>
      </c>
      <c r="D1941" s="367" t="s">
        <v>5</v>
      </c>
      <c r="E1941" s="367" t="s">
        <v>6</v>
      </c>
      <c r="F1941" s="389" t="s">
        <v>3193</v>
      </c>
      <c r="G1941" s="385">
        <v>45761</v>
      </c>
      <c r="H1941" s="367" t="s">
        <v>14</v>
      </c>
      <c r="I1941" s="368" t="str">
        <f>VLOOKUP(H1941,'Source Codes'!A$2:B$115,2,FALSE)</f>
        <v>AP Warrant Issuance</v>
      </c>
      <c r="J1941" s="412">
        <v>-5476676.6900000004</v>
      </c>
      <c r="K1941" s="385">
        <v>45757</v>
      </c>
      <c r="L1941" s="387" t="s">
        <v>3202</v>
      </c>
      <c r="M1941" s="390">
        <v>45757.794768518521</v>
      </c>
      <c r="N1941" s="367" t="s">
        <v>356</v>
      </c>
      <c r="O1941" s="368" t="s">
        <v>364</v>
      </c>
      <c r="P1941" s="367" t="str">
        <f t="shared" ref="P1941:P1948" si="22">IF(J1941&gt;0,"Revenue",IF(J1941&lt;0,"Expense"))</f>
        <v>Expense</v>
      </c>
      <c r="Q1941" s="366" t="s">
        <v>2254</v>
      </c>
      <c r="R1941" s="393">
        <v>45748</v>
      </c>
      <c r="S1941" s="395">
        <v>530440</v>
      </c>
    </row>
    <row r="1942" spans="1:19" ht="60" hidden="1" outlineLevel="1">
      <c r="B1942" s="384">
        <v>2025</v>
      </c>
      <c r="C1942" s="384">
        <v>10</v>
      </c>
      <c r="D1942" s="367" t="s">
        <v>5</v>
      </c>
      <c r="E1942" s="367" t="s">
        <v>6</v>
      </c>
      <c r="F1942" s="389" t="s">
        <v>3194</v>
      </c>
      <c r="G1942" s="385">
        <v>45757</v>
      </c>
      <c r="H1942" s="367" t="s">
        <v>14</v>
      </c>
      <c r="I1942" s="368" t="str">
        <f>VLOOKUP(H1942,'Source Codes'!A$2:B$115,2,FALSE)</f>
        <v>AP Warrant Issuance</v>
      </c>
      <c r="J1942" s="412">
        <v>-6251031.4699999997</v>
      </c>
      <c r="K1942" s="385">
        <v>45757</v>
      </c>
      <c r="L1942" s="387" t="s">
        <v>5080</v>
      </c>
      <c r="M1942" s="390">
        <v>45757.794768518521</v>
      </c>
      <c r="N1942" s="367" t="s">
        <v>361</v>
      </c>
      <c r="O1942" s="368" t="s">
        <v>358</v>
      </c>
      <c r="P1942" s="367" t="str">
        <f t="shared" si="22"/>
        <v>Expense</v>
      </c>
      <c r="Q1942" s="366" t="s">
        <v>2325</v>
      </c>
      <c r="R1942" s="393" t="s">
        <v>4189</v>
      </c>
      <c r="S1942" s="395">
        <v>536200</v>
      </c>
    </row>
    <row r="1943" spans="1:19" ht="60" hidden="1" outlineLevel="1">
      <c r="B1943" s="384">
        <v>2025</v>
      </c>
      <c r="C1943" s="384">
        <v>10</v>
      </c>
      <c r="D1943" s="367" t="s">
        <v>5</v>
      </c>
      <c r="E1943" s="367" t="s">
        <v>6</v>
      </c>
      <c r="F1943" s="389" t="s">
        <v>3195</v>
      </c>
      <c r="G1943" s="385">
        <v>45757</v>
      </c>
      <c r="H1943" s="367" t="s">
        <v>14</v>
      </c>
      <c r="I1943" s="368" t="str">
        <f>VLOOKUP(H1943,'Source Codes'!A$2:B$115,2,FALSE)</f>
        <v>AP Warrant Issuance</v>
      </c>
      <c r="J1943" s="412">
        <v>-1986501.26</v>
      </c>
      <c r="K1943" s="385">
        <v>45757</v>
      </c>
      <c r="L1943" s="387" t="s">
        <v>3203</v>
      </c>
      <c r="M1943" s="390">
        <v>45757.794768518521</v>
      </c>
      <c r="N1943" s="367" t="s">
        <v>360</v>
      </c>
      <c r="O1943" s="368" t="s">
        <v>370</v>
      </c>
      <c r="P1943" s="367" t="str">
        <f t="shared" si="22"/>
        <v>Expense</v>
      </c>
      <c r="Q1943" s="366" t="s">
        <v>3204</v>
      </c>
      <c r="R1943" s="393" t="s">
        <v>3204</v>
      </c>
      <c r="S1943" s="395">
        <v>527780</v>
      </c>
    </row>
    <row r="1944" spans="1:19" ht="30" hidden="1" outlineLevel="1">
      <c r="B1944" s="384">
        <v>2025</v>
      </c>
      <c r="C1944" s="384">
        <v>10</v>
      </c>
      <c r="D1944" s="367" t="s">
        <v>5</v>
      </c>
      <c r="E1944" s="367" t="s">
        <v>6</v>
      </c>
      <c r="F1944" s="389" t="s">
        <v>3196</v>
      </c>
      <c r="G1944" s="385">
        <v>45757</v>
      </c>
      <c r="H1944" s="367" t="s">
        <v>12</v>
      </c>
      <c r="I1944" s="368" t="str">
        <f>VLOOKUP(H1944,'Source Codes'!A$2:B$115,2,FALSE)</f>
        <v>AR Direct Cash Journal</v>
      </c>
      <c r="J1944" s="412">
        <v>6370409.1200000001</v>
      </c>
      <c r="K1944" s="385">
        <v>45757</v>
      </c>
      <c r="L1944" s="387" t="s">
        <v>3206</v>
      </c>
      <c r="M1944" s="390">
        <v>45757.752303240741</v>
      </c>
      <c r="N1944" s="367" t="s">
        <v>360</v>
      </c>
      <c r="O1944" s="368" t="s">
        <v>375</v>
      </c>
      <c r="P1944" s="367" t="str">
        <f t="shared" si="22"/>
        <v>Revenue</v>
      </c>
      <c r="Q1944" s="366" t="s">
        <v>3205</v>
      </c>
      <c r="R1944" s="393" t="s">
        <v>3205</v>
      </c>
      <c r="S1944" s="395" t="s">
        <v>3207</v>
      </c>
    </row>
    <row r="1945" spans="1:19" ht="30" hidden="1" outlineLevel="1">
      <c r="B1945" s="384">
        <v>2025</v>
      </c>
      <c r="C1945" s="384">
        <v>10</v>
      </c>
      <c r="D1945" s="367" t="s">
        <v>5</v>
      </c>
      <c r="E1945" s="367" t="s">
        <v>6</v>
      </c>
      <c r="F1945" s="389" t="s">
        <v>3197</v>
      </c>
      <c r="G1945" s="385">
        <v>45751</v>
      </c>
      <c r="H1945" s="367" t="s">
        <v>11</v>
      </c>
      <c r="I1945" s="368" t="str">
        <f>VLOOKUP(H1945,'Source Codes'!A$2:B$115,2,FALSE)</f>
        <v>AR Payments</v>
      </c>
      <c r="J1945" s="412">
        <v>2986931.57</v>
      </c>
      <c r="K1945" s="385">
        <v>45757</v>
      </c>
      <c r="L1945" s="387" t="s">
        <v>397</v>
      </c>
      <c r="M1945" s="390">
        <v>45757.752303240741</v>
      </c>
      <c r="N1945" s="367" t="s">
        <v>356</v>
      </c>
      <c r="O1945" s="368" t="s">
        <v>357</v>
      </c>
      <c r="P1945" s="367" t="str">
        <f t="shared" si="22"/>
        <v>Revenue</v>
      </c>
      <c r="Q1945" s="366" t="s">
        <v>2157</v>
      </c>
      <c r="R1945" s="393" t="s">
        <v>2857</v>
      </c>
      <c r="S1945" s="395" t="s">
        <v>3159</v>
      </c>
    </row>
    <row r="1946" spans="1:19" ht="45" hidden="1" outlineLevel="1">
      <c r="B1946" s="384">
        <v>2025</v>
      </c>
      <c r="C1946" s="384">
        <v>10</v>
      </c>
      <c r="D1946" s="367" t="s">
        <v>5</v>
      </c>
      <c r="E1946" s="367" t="s">
        <v>6</v>
      </c>
      <c r="F1946" s="389" t="s">
        <v>3198</v>
      </c>
      <c r="G1946" s="385">
        <v>45756</v>
      </c>
      <c r="H1946" s="367" t="s">
        <v>11</v>
      </c>
      <c r="I1946" s="368" t="str">
        <f>VLOOKUP(H1946,'Source Codes'!A$2:B$115,2,FALSE)</f>
        <v>AR Payments</v>
      </c>
      <c r="J1946" s="412">
        <v>2109491.3199999998</v>
      </c>
      <c r="K1946" s="385">
        <v>45757</v>
      </c>
      <c r="L1946" s="387" t="s">
        <v>3208</v>
      </c>
      <c r="M1946" s="390">
        <v>45757.752303240741</v>
      </c>
      <c r="N1946" s="367" t="s">
        <v>356</v>
      </c>
      <c r="O1946" s="368" t="s">
        <v>357</v>
      </c>
      <c r="P1946" s="367" t="str">
        <f t="shared" si="22"/>
        <v>Revenue</v>
      </c>
      <c r="Q1946" s="366" t="s">
        <v>2157</v>
      </c>
      <c r="R1946" s="393" t="s">
        <v>2857</v>
      </c>
      <c r="S1946" s="395" t="s">
        <v>3159</v>
      </c>
    </row>
    <row r="1947" spans="1:19" ht="60" hidden="1" outlineLevel="1">
      <c r="B1947" s="384">
        <v>2025</v>
      </c>
      <c r="C1947" s="384">
        <v>10</v>
      </c>
      <c r="D1947" s="367" t="s">
        <v>5</v>
      </c>
      <c r="E1947" s="367" t="s">
        <v>6</v>
      </c>
      <c r="F1947" s="389" t="s">
        <v>3199</v>
      </c>
      <c r="G1947" s="385">
        <v>45757</v>
      </c>
      <c r="H1947" s="367" t="s">
        <v>11</v>
      </c>
      <c r="I1947" s="368" t="str">
        <f>VLOOKUP(H1947,'Source Codes'!A$2:B$115,2,FALSE)</f>
        <v>AR Payments</v>
      </c>
      <c r="J1947" s="412">
        <v>1684758.93</v>
      </c>
      <c r="K1947" s="385">
        <v>45757</v>
      </c>
      <c r="L1947" s="387" t="s">
        <v>3209</v>
      </c>
      <c r="M1947" s="390">
        <v>45757.752303240741</v>
      </c>
      <c r="N1947" s="367" t="s">
        <v>356</v>
      </c>
      <c r="O1947" s="368" t="s">
        <v>357</v>
      </c>
      <c r="P1947" s="367" t="str">
        <f t="shared" si="22"/>
        <v>Revenue</v>
      </c>
      <c r="Q1947" s="366" t="s">
        <v>2157</v>
      </c>
      <c r="R1947" s="393" t="s">
        <v>2857</v>
      </c>
      <c r="S1947" s="395" t="s">
        <v>3159</v>
      </c>
    </row>
    <row r="1948" spans="1:19" ht="30" hidden="1" outlineLevel="1">
      <c r="B1948" s="384">
        <v>2025</v>
      </c>
      <c r="C1948" s="384">
        <v>10</v>
      </c>
      <c r="D1948" s="367" t="s">
        <v>5</v>
      </c>
      <c r="E1948" s="367" t="s">
        <v>6</v>
      </c>
      <c r="F1948" s="389" t="s">
        <v>3200</v>
      </c>
      <c r="G1948" s="385">
        <v>45755</v>
      </c>
      <c r="H1948" s="367" t="s">
        <v>16</v>
      </c>
      <c r="I1948" s="368" t="str">
        <f>VLOOKUP(H1948,'Source Codes'!A$2:B$115,2,FALSE)</f>
        <v>Property Tax Interface</v>
      </c>
      <c r="J1948" s="412">
        <v>34219145.759999998</v>
      </c>
      <c r="K1948" s="385">
        <v>45757</v>
      </c>
      <c r="L1948" s="387" t="s">
        <v>3201</v>
      </c>
      <c r="M1948" s="390">
        <v>45757.591145833336</v>
      </c>
      <c r="N1948" s="367" t="s">
        <v>361</v>
      </c>
      <c r="O1948" s="368" t="s">
        <v>384</v>
      </c>
      <c r="P1948" s="367" t="str">
        <f t="shared" si="22"/>
        <v>Revenue</v>
      </c>
      <c r="Q1948" s="366" t="s">
        <v>2199</v>
      </c>
      <c r="R1948" s="393" t="s">
        <v>3387</v>
      </c>
      <c r="S1948" s="395" t="s">
        <v>3210</v>
      </c>
    </row>
    <row r="1949" spans="1:19" ht="12.75" customHeight="1" collapsed="1">
      <c r="J1949" s="413">
        <f>SUM(J1941:J1948)</f>
        <v>33656527.279999994</v>
      </c>
    </row>
    <row r="1951" spans="1:19" ht="12.75" customHeight="1">
      <c r="A1951" s="378" t="s">
        <v>3211</v>
      </c>
    </row>
    <row r="1952" spans="1:19" ht="45" hidden="1" outlineLevel="1">
      <c r="B1952" s="384">
        <v>2025</v>
      </c>
      <c r="C1952" s="384">
        <v>10</v>
      </c>
      <c r="D1952" s="367">
        <v>10000</v>
      </c>
      <c r="E1952" s="367" t="s">
        <v>6</v>
      </c>
      <c r="F1952" s="389" t="s">
        <v>3212</v>
      </c>
      <c r="G1952" s="385">
        <v>45758</v>
      </c>
      <c r="H1952" s="367" t="s">
        <v>11</v>
      </c>
      <c r="I1952" s="368" t="str">
        <f>VLOOKUP(H1952,'Source Codes'!A$2:B$115,2,FALSE)</f>
        <v>AR Payments</v>
      </c>
      <c r="J1952" s="412">
        <v>1265773.71</v>
      </c>
      <c r="K1952" s="385">
        <v>45758</v>
      </c>
      <c r="L1952" s="387" t="s">
        <v>3217</v>
      </c>
      <c r="M1952" s="390">
        <v>45758.75204861111</v>
      </c>
      <c r="N1952" s="367" t="s">
        <v>356</v>
      </c>
      <c r="O1952" s="368" t="s">
        <v>357</v>
      </c>
      <c r="P1952" s="367" t="str">
        <f>IF(J1952&gt;0,"Revenue",IF(J1952&lt;0,"Expense"))</f>
        <v>Revenue</v>
      </c>
      <c r="Q1952" s="366" t="s">
        <v>2157</v>
      </c>
      <c r="R1952" s="393" t="s">
        <v>2857</v>
      </c>
      <c r="S1952" s="395" t="s">
        <v>2278</v>
      </c>
    </row>
    <row r="1953" spans="1:19" ht="30" hidden="1" outlineLevel="1">
      <c r="B1953" s="384">
        <v>2025</v>
      </c>
      <c r="C1953" s="384">
        <v>10</v>
      </c>
      <c r="D1953" s="367" t="s">
        <v>5</v>
      </c>
      <c r="E1953" s="367" t="s">
        <v>6</v>
      </c>
      <c r="F1953" s="389" t="s">
        <v>3213</v>
      </c>
      <c r="G1953" s="385">
        <v>45758</v>
      </c>
      <c r="H1953" s="367" t="s">
        <v>11</v>
      </c>
      <c r="I1953" s="368" t="str">
        <f>VLOOKUP(H1953,'Source Codes'!A$2:B$115,2,FALSE)</f>
        <v>AR Payments</v>
      </c>
      <c r="J1953" s="412">
        <v>1361339.49</v>
      </c>
      <c r="K1953" s="385">
        <v>45758</v>
      </c>
      <c r="L1953" s="369" t="s">
        <v>3218</v>
      </c>
      <c r="M1953" s="390">
        <v>45758.75204861111</v>
      </c>
      <c r="N1953" s="367" t="s">
        <v>356</v>
      </c>
      <c r="O1953" s="368" t="s">
        <v>362</v>
      </c>
      <c r="P1953" s="367" t="str">
        <f>IF(J1953&gt;0,"Revenue",IF(J1953&lt;0,"Expense"))</f>
        <v>Revenue</v>
      </c>
      <c r="Q1953" s="366" t="s">
        <v>2360</v>
      </c>
      <c r="R1953" s="366" t="s">
        <v>2715</v>
      </c>
      <c r="S1953" s="395">
        <v>118401</v>
      </c>
    </row>
    <row r="1954" spans="1:19" ht="45" hidden="1" outlineLevel="1">
      <c r="B1954" s="384">
        <v>2025</v>
      </c>
      <c r="C1954" s="384">
        <v>10</v>
      </c>
      <c r="D1954" s="367" t="s">
        <v>5</v>
      </c>
      <c r="E1954" s="367">
        <v>101100</v>
      </c>
      <c r="F1954" s="389" t="s">
        <v>3214</v>
      </c>
      <c r="G1954" s="385">
        <v>45757</v>
      </c>
      <c r="H1954" s="367" t="s">
        <v>12</v>
      </c>
      <c r="I1954" s="368" t="str">
        <f>VLOOKUP(H1954,'Source Codes'!A$2:B$115,2,FALSE)</f>
        <v>AR Direct Cash Journal</v>
      </c>
      <c r="J1954" s="412">
        <v>8466493.8300000001</v>
      </c>
      <c r="K1954" s="385">
        <v>45758</v>
      </c>
      <c r="L1954" s="369" t="s">
        <v>3220</v>
      </c>
      <c r="M1954" s="390">
        <v>45758.75204861111</v>
      </c>
      <c r="N1954" s="367" t="s">
        <v>361</v>
      </c>
      <c r="O1954" s="368" t="s">
        <v>370</v>
      </c>
      <c r="P1954" s="367" t="str">
        <f>IF(J1954&gt;0,"Revenue",IF(J1954&lt;0,"Expense"))</f>
        <v>Revenue</v>
      </c>
      <c r="Q1954" s="366" t="s">
        <v>2264</v>
      </c>
      <c r="R1954" s="366" t="s">
        <v>2265</v>
      </c>
      <c r="S1954" s="395" t="s">
        <v>203</v>
      </c>
    </row>
    <row r="1955" spans="1:19" ht="12.75" hidden="1" customHeight="1" outlineLevel="1">
      <c r="B1955" s="384">
        <v>2025</v>
      </c>
      <c r="C1955" s="384">
        <v>10</v>
      </c>
      <c r="D1955" s="367" t="s">
        <v>5</v>
      </c>
      <c r="E1955" s="367" t="s">
        <v>6</v>
      </c>
      <c r="F1955" s="389" t="s">
        <v>3215</v>
      </c>
      <c r="G1955" s="385">
        <v>45751</v>
      </c>
      <c r="H1955" s="367" t="s">
        <v>337</v>
      </c>
      <c r="I1955" s="368" t="str">
        <f>VLOOKUP(H1955,'Source Codes'!A$2:B$115,2,FALSE)</f>
        <v>Facilities Mngmnt Intfc Jrnls</v>
      </c>
      <c r="J1955" s="412">
        <v>-2388276.35</v>
      </c>
      <c r="K1955" s="385">
        <v>45758</v>
      </c>
      <c r="L1955" s="387" t="s">
        <v>3216</v>
      </c>
      <c r="M1955" s="390">
        <v>45758.870567129627</v>
      </c>
      <c r="N1955" s="367" t="s">
        <v>3219</v>
      </c>
      <c r="O1955" s="368" t="s">
        <v>367</v>
      </c>
      <c r="P1955" s="367" t="str">
        <f>IF(J1955&gt;0,"Revenue",IF(J1955&lt;0,"Expense"))</f>
        <v>Expense</v>
      </c>
      <c r="Q1955" s="366" t="s">
        <v>2337</v>
      </c>
      <c r="R1955" s="366" t="s">
        <v>3221</v>
      </c>
      <c r="S1955" s="395">
        <v>522385</v>
      </c>
    </row>
    <row r="1956" spans="1:19" ht="12.75" customHeight="1" collapsed="1">
      <c r="J1956" s="413">
        <f>SUM(J1952:J1955)</f>
        <v>8705330.6800000016</v>
      </c>
    </row>
    <row r="1958" spans="1:19" ht="12.75" customHeight="1">
      <c r="A1958" s="378" t="s">
        <v>3222</v>
      </c>
    </row>
    <row r="1959" spans="1:19" ht="30" hidden="1" outlineLevel="1">
      <c r="B1959" s="384">
        <v>2025</v>
      </c>
      <c r="C1959" s="384">
        <v>10</v>
      </c>
      <c r="D1959" s="367" t="s">
        <v>5</v>
      </c>
      <c r="E1959" s="367" t="s">
        <v>6</v>
      </c>
      <c r="F1959" s="389" t="s">
        <v>3223</v>
      </c>
      <c r="G1959" s="385">
        <v>45763</v>
      </c>
      <c r="H1959" s="367" t="s">
        <v>14</v>
      </c>
      <c r="I1959" s="368" t="str">
        <f>VLOOKUP(H1959,'Source Codes'!A$2:B$115,2,FALSE)</f>
        <v>AP Warrant Issuance</v>
      </c>
      <c r="J1959" s="412">
        <v>-1236178.46</v>
      </c>
      <c r="K1959" s="385">
        <v>45761</v>
      </c>
      <c r="L1959" s="369" t="s">
        <v>3224</v>
      </c>
      <c r="M1959" s="390">
        <v>45761.793703703705</v>
      </c>
      <c r="N1959" s="367" t="s">
        <v>356</v>
      </c>
      <c r="O1959" s="368" t="s">
        <v>368</v>
      </c>
      <c r="P1959" s="367" t="str">
        <f>IF(J1959&gt;0,"Revenue",IF(J1959&lt;0,"Expense"))</f>
        <v>Expense</v>
      </c>
      <c r="Q1959" s="366" t="s">
        <v>2154</v>
      </c>
      <c r="R1959" s="366" t="s">
        <v>2154</v>
      </c>
      <c r="S1959" s="366" t="s">
        <v>203</v>
      </c>
    </row>
    <row r="1960" spans="1:19" ht="12.75" customHeight="1" collapsed="1">
      <c r="J1960" s="413">
        <f>SUM(J1959)</f>
        <v>-1236178.46</v>
      </c>
    </row>
    <row r="1962" spans="1:19" ht="12.75" customHeight="1">
      <c r="A1962" s="378" t="s">
        <v>3225</v>
      </c>
    </row>
    <row r="1963" spans="1:19" ht="30" hidden="1" outlineLevel="1">
      <c r="B1963" s="384">
        <v>2025</v>
      </c>
      <c r="C1963" s="384">
        <v>10</v>
      </c>
      <c r="D1963" s="367" t="s">
        <v>5</v>
      </c>
      <c r="E1963" s="367" t="s">
        <v>6</v>
      </c>
      <c r="F1963" s="389" t="s">
        <v>3226</v>
      </c>
      <c r="G1963" s="385">
        <v>45764</v>
      </c>
      <c r="H1963" s="367" t="s">
        <v>14</v>
      </c>
      <c r="I1963" s="368" t="str">
        <f>VLOOKUP(H1963,'Source Codes'!A$2:B$115,2,FALSE)</f>
        <v>AP Warrant Issuance</v>
      </c>
      <c r="J1963" s="412">
        <v>-2684506.1</v>
      </c>
      <c r="K1963" s="385">
        <v>45762</v>
      </c>
      <c r="L1963" s="369" t="s">
        <v>3229</v>
      </c>
      <c r="M1963" s="390">
        <v>45762.916261574072</v>
      </c>
      <c r="N1963" s="367" t="s">
        <v>356</v>
      </c>
      <c r="O1963" s="368" t="s">
        <v>368</v>
      </c>
      <c r="P1963" s="367" t="str">
        <f>IF(J1963&gt;0,"Revenue",IF(J1963&lt;0,"Expense"))</f>
        <v>Expense</v>
      </c>
      <c r="Q1963" s="366" t="s">
        <v>2154</v>
      </c>
      <c r="R1963" s="366" t="s">
        <v>2154</v>
      </c>
      <c r="S1963" s="366" t="s">
        <v>203</v>
      </c>
    </row>
    <row r="1964" spans="1:19" ht="60" hidden="1" outlineLevel="1">
      <c r="B1964" s="384">
        <v>2025</v>
      </c>
      <c r="C1964" s="384">
        <v>10</v>
      </c>
      <c r="D1964" s="367" t="s">
        <v>5</v>
      </c>
      <c r="E1964" s="367" t="s">
        <v>6</v>
      </c>
      <c r="F1964" s="389" t="s">
        <v>3227</v>
      </c>
      <c r="G1964" s="385">
        <v>45764</v>
      </c>
      <c r="H1964" s="367" t="s">
        <v>14</v>
      </c>
      <c r="I1964" s="368" t="str">
        <f>VLOOKUP(H1964,'Source Codes'!A$2:B$115,2,FALSE)</f>
        <v>AP Warrant Issuance</v>
      </c>
      <c r="J1964" s="412">
        <v>-1464027.95</v>
      </c>
      <c r="K1964" s="385">
        <v>45762</v>
      </c>
      <c r="L1964" s="369" t="s">
        <v>3230</v>
      </c>
      <c r="M1964" s="390">
        <v>45762.916261574072</v>
      </c>
      <c r="N1964" s="367" t="s">
        <v>2185</v>
      </c>
      <c r="O1964" s="368" t="s">
        <v>357</v>
      </c>
      <c r="P1964" s="367" t="str">
        <f>IF(J1964&gt;0,"Revenue",IF(J1964&lt;0,"Expense"))</f>
        <v>Expense</v>
      </c>
      <c r="Q1964" s="366" t="s">
        <v>2309</v>
      </c>
      <c r="R1964" s="393" t="s">
        <v>2310</v>
      </c>
      <c r="S1964" s="366">
        <v>527530</v>
      </c>
    </row>
    <row r="1965" spans="1:19" ht="30" hidden="1" outlineLevel="1">
      <c r="B1965" s="384">
        <v>2025</v>
      </c>
      <c r="C1965" s="384">
        <v>10</v>
      </c>
      <c r="D1965" s="367" t="s">
        <v>5</v>
      </c>
      <c r="E1965" s="367" t="s">
        <v>6</v>
      </c>
      <c r="F1965" s="389" t="s">
        <v>3228</v>
      </c>
      <c r="G1965" s="385">
        <v>45761</v>
      </c>
      <c r="H1965" s="367" t="s">
        <v>9</v>
      </c>
      <c r="I1965" s="368" t="str">
        <f>VLOOKUP(H1965,'Source Codes'!A$2:B$115,2,FALSE)</f>
        <v>On Line Journal Entries</v>
      </c>
      <c r="J1965" s="412">
        <v>2081837</v>
      </c>
      <c r="K1965" s="385">
        <v>45762</v>
      </c>
      <c r="L1965" s="369" t="s">
        <v>344</v>
      </c>
      <c r="M1965" s="390">
        <v>45762.920868055553</v>
      </c>
      <c r="N1965" s="368" t="s">
        <v>356</v>
      </c>
      <c r="O1965" s="368" t="s">
        <v>364</v>
      </c>
      <c r="P1965" s="367" t="str">
        <f>IF(J1965&gt;0,"Revenue",IF(J1965&lt;0,"Expense"))</f>
        <v>Revenue</v>
      </c>
      <c r="Q1965" s="366" t="s">
        <v>2232</v>
      </c>
      <c r="R1965" s="366" t="s">
        <v>2232</v>
      </c>
      <c r="S1965" s="366" t="s">
        <v>3107</v>
      </c>
    </row>
    <row r="1966" spans="1:19" ht="30" hidden="1" outlineLevel="1">
      <c r="B1966" s="384">
        <v>2025</v>
      </c>
      <c r="C1966" s="384">
        <v>10</v>
      </c>
      <c r="D1966" s="367" t="s">
        <v>5</v>
      </c>
      <c r="E1966" s="367" t="s">
        <v>6</v>
      </c>
      <c r="F1966" s="389" t="s">
        <v>3231</v>
      </c>
      <c r="G1966" s="385">
        <v>45748</v>
      </c>
      <c r="H1966" s="367" t="s">
        <v>9</v>
      </c>
      <c r="I1966" s="368" t="str">
        <f>VLOOKUP(H1966,'Source Codes'!A$2:B$115,2,FALSE)</f>
        <v>On Line Journal Entries</v>
      </c>
      <c r="J1966" s="412">
        <v>-5190117.3099999996</v>
      </c>
      <c r="K1966" s="385">
        <v>45762</v>
      </c>
      <c r="L1966" s="369" t="s">
        <v>3233</v>
      </c>
      <c r="M1966" s="390">
        <v>45762.403333333335</v>
      </c>
      <c r="N1966" s="368" t="s">
        <v>361</v>
      </c>
      <c r="O1966" s="368" t="s">
        <v>373</v>
      </c>
      <c r="P1966" s="367" t="str">
        <f>IF(J1966&gt;0,"Revenue",IF(J1966&lt;0,"Expense"))</f>
        <v>Expense</v>
      </c>
      <c r="Q1966" s="366" t="s">
        <v>2476</v>
      </c>
      <c r="R1966" s="393" t="s">
        <v>3235</v>
      </c>
      <c r="S1966" s="366" t="s">
        <v>2478</v>
      </c>
    </row>
    <row r="1967" spans="1:19" ht="30" hidden="1" outlineLevel="1">
      <c r="B1967" s="384">
        <v>2025</v>
      </c>
      <c r="C1967" s="384">
        <v>10</v>
      </c>
      <c r="D1967" s="367" t="s">
        <v>5</v>
      </c>
      <c r="E1967" s="367" t="s">
        <v>6</v>
      </c>
      <c r="F1967" s="389" t="s">
        <v>3232</v>
      </c>
      <c r="G1967" s="385">
        <v>45761</v>
      </c>
      <c r="H1967" s="367" t="s">
        <v>9</v>
      </c>
      <c r="I1967" s="368" t="str">
        <f>VLOOKUP(H1967,'Source Codes'!A$2:B$115,2,FALSE)</f>
        <v>On Line Journal Entries</v>
      </c>
      <c r="J1967" s="412">
        <v>-18107045.940000001</v>
      </c>
      <c r="K1967" s="385">
        <v>45762</v>
      </c>
      <c r="L1967" s="369" t="s">
        <v>3234</v>
      </c>
      <c r="M1967" s="390">
        <v>45762.402696759258</v>
      </c>
      <c r="N1967" s="368" t="s">
        <v>361</v>
      </c>
      <c r="O1967" s="368" t="s">
        <v>373</v>
      </c>
      <c r="P1967" s="367" t="str">
        <f>IF(J1967&gt;0,"Revenue",IF(J1967&lt;0,"Expense"))</f>
        <v>Expense</v>
      </c>
      <c r="Q1967" s="366" t="s">
        <v>2569</v>
      </c>
      <c r="R1967" s="366" t="s">
        <v>3236</v>
      </c>
      <c r="S1967" s="366">
        <v>520930</v>
      </c>
    </row>
    <row r="1968" spans="1:19" ht="12.75" customHeight="1" collapsed="1">
      <c r="J1968" s="413">
        <f>SUM(J1963:J1967)</f>
        <v>-25363860.300000001</v>
      </c>
    </row>
    <row r="1970" spans="1:19" ht="12.75" customHeight="1">
      <c r="A1970" s="378" t="s">
        <v>3237</v>
      </c>
      <c r="B1970" s="384"/>
      <c r="C1970" s="384"/>
      <c r="D1970" s="367"/>
      <c r="E1970" s="367"/>
      <c r="F1970" s="389"/>
      <c r="G1970" s="385"/>
      <c r="H1970" s="367"/>
      <c r="I1970" s="368"/>
      <c r="J1970" s="412"/>
      <c r="K1970" s="385"/>
      <c r="L1970" s="369"/>
      <c r="M1970" s="390"/>
      <c r="N1970" s="367"/>
      <c r="O1970" s="368"/>
      <c r="P1970" s="367"/>
      <c r="Q1970" s="366"/>
      <c r="R1970" s="366"/>
      <c r="S1970" s="366"/>
    </row>
    <row r="1971" spans="1:19" ht="30" hidden="1" outlineLevel="1">
      <c r="B1971" s="384">
        <v>2025</v>
      </c>
      <c r="C1971" s="384">
        <v>10</v>
      </c>
      <c r="D1971" s="367" t="s">
        <v>5</v>
      </c>
      <c r="E1971" s="367" t="s">
        <v>6</v>
      </c>
      <c r="F1971" s="389" t="s">
        <v>3238</v>
      </c>
      <c r="G1971" s="385">
        <v>45763</v>
      </c>
      <c r="H1971" s="367" t="s">
        <v>14</v>
      </c>
      <c r="I1971" s="368" t="str">
        <f>VLOOKUP(H1971,'Source Codes'!A$2:B$115,2,FALSE)</f>
        <v>AP Warrant Issuance</v>
      </c>
      <c r="J1971" s="412">
        <v>-2341386.3199999998</v>
      </c>
      <c r="K1971" s="385">
        <v>45763</v>
      </c>
      <c r="L1971" s="369" t="s">
        <v>3241</v>
      </c>
      <c r="M1971" s="390">
        <v>45763.793958333335</v>
      </c>
      <c r="N1971" s="368" t="s">
        <v>356</v>
      </c>
      <c r="O1971" s="368" t="s">
        <v>368</v>
      </c>
      <c r="P1971" s="367" t="str">
        <f>IF(J1971&gt;0,"Revenue",IF(J1971&lt;0,"Expense"))</f>
        <v>Expense</v>
      </c>
      <c r="Q1971" s="366" t="s">
        <v>2154</v>
      </c>
      <c r="R1971" s="366" t="s">
        <v>2154</v>
      </c>
      <c r="S1971" s="366" t="s">
        <v>203</v>
      </c>
    </row>
    <row r="1972" spans="1:19" ht="30" hidden="1" outlineLevel="1">
      <c r="B1972" s="384">
        <v>2025</v>
      </c>
      <c r="C1972" s="384">
        <v>10</v>
      </c>
      <c r="D1972" s="367" t="s">
        <v>5</v>
      </c>
      <c r="E1972" s="367" t="s">
        <v>6</v>
      </c>
      <c r="F1972" s="389" t="s">
        <v>3239</v>
      </c>
      <c r="G1972" s="385">
        <v>45765</v>
      </c>
      <c r="H1972" s="367" t="s">
        <v>14</v>
      </c>
      <c r="I1972" s="368" t="str">
        <f>VLOOKUP(H1972,'Source Codes'!A$2:B$115,2,FALSE)</f>
        <v>AP Warrant Issuance</v>
      </c>
      <c r="J1972" s="412">
        <v>-1684129.65</v>
      </c>
      <c r="K1972" s="385">
        <v>45763</v>
      </c>
      <c r="L1972" s="369" t="s">
        <v>3242</v>
      </c>
      <c r="M1972" s="390">
        <v>45763.793958333335</v>
      </c>
      <c r="N1972" s="368" t="s">
        <v>356</v>
      </c>
      <c r="O1972" s="368" t="s">
        <v>368</v>
      </c>
      <c r="P1972" s="367" t="str">
        <f>IF(J1972&gt;0,"Revenue",IF(J1972&lt;0,"Expense"))</f>
        <v>Expense</v>
      </c>
      <c r="Q1972" s="366" t="s">
        <v>2154</v>
      </c>
      <c r="R1972" s="366" t="s">
        <v>2154</v>
      </c>
      <c r="S1972" s="366" t="s">
        <v>203</v>
      </c>
    </row>
    <row r="1973" spans="1:19" ht="15" hidden="1" outlineLevel="1">
      <c r="B1973" s="384">
        <v>2025</v>
      </c>
      <c r="C1973" s="384">
        <v>10</v>
      </c>
      <c r="D1973" s="367" t="s">
        <v>5</v>
      </c>
      <c r="E1973" s="367" t="s">
        <v>6</v>
      </c>
      <c r="F1973" s="389" t="s">
        <v>3240</v>
      </c>
      <c r="G1973" s="385">
        <v>45763</v>
      </c>
      <c r="H1973" s="367" t="s">
        <v>12</v>
      </c>
      <c r="I1973" s="368" t="str">
        <f>VLOOKUP(H1973,'Source Codes'!A$2:B$115,2,FALSE)</f>
        <v>AR Direct Cash Journal</v>
      </c>
      <c r="J1973" s="412">
        <v>5036058.3600000003</v>
      </c>
      <c r="K1973" s="385">
        <v>45763</v>
      </c>
      <c r="L1973" s="369" t="s">
        <v>3245</v>
      </c>
      <c r="M1973" s="390">
        <v>45763.752349537041</v>
      </c>
      <c r="N1973" s="368" t="s">
        <v>2185</v>
      </c>
      <c r="O1973" s="368" t="s">
        <v>3243</v>
      </c>
      <c r="P1973" s="367" t="str">
        <f>IF(J1973&gt;0,"Revenue",IF(J1973&lt;0,"Expense"))</f>
        <v>Revenue</v>
      </c>
      <c r="Q1973" s="366" t="s">
        <v>3244</v>
      </c>
      <c r="R1973" s="366" t="s">
        <v>3244</v>
      </c>
      <c r="S1973" s="366">
        <v>725020</v>
      </c>
    </row>
    <row r="1974" spans="1:19" ht="12.75" customHeight="1" collapsed="1">
      <c r="J1974" s="413">
        <f>SUM(J1971:J1973)</f>
        <v>1010542.3900000006</v>
      </c>
    </row>
    <row r="1976" spans="1:19" ht="12.75" customHeight="1">
      <c r="A1976" s="378" t="s">
        <v>3246</v>
      </c>
    </row>
    <row r="1977" spans="1:19" ht="30" hidden="1" outlineLevel="1">
      <c r="B1977" s="384">
        <v>2025</v>
      </c>
      <c r="C1977" s="384">
        <v>10</v>
      </c>
      <c r="D1977" s="367" t="s">
        <v>5</v>
      </c>
      <c r="E1977" s="367" t="s">
        <v>6</v>
      </c>
      <c r="F1977" s="389" t="s">
        <v>3247</v>
      </c>
      <c r="G1977" s="385">
        <v>45764</v>
      </c>
      <c r="H1977" s="367" t="s">
        <v>14</v>
      </c>
      <c r="I1977" s="368" t="str">
        <f>VLOOKUP(H1977,'Source Codes'!A$2:B$115,2,FALSE)</f>
        <v>AP Warrant Issuance</v>
      </c>
      <c r="J1977" s="412">
        <v>-1220611.97</v>
      </c>
      <c r="K1977" s="385">
        <v>45764</v>
      </c>
      <c r="L1977" s="369" t="s">
        <v>3250</v>
      </c>
      <c r="M1977" s="390">
        <v>45764.793668981481</v>
      </c>
      <c r="N1977" s="368" t="s">
        <v>356</v>
      </c>
      <c r="O1977" s="368" t="s">
        <v>368</v>
      </c>
      <c r="P1977" s="367" t="str">
        <f>IF(J1977&gt;0,"Revenue",IF(J1977&lt;0,"Expense"))</f>
        <v>Expense</v>
      </c>
      <c r="Q1977" s="366" t="s">
        <v>2154</v>
      </c>
      <c r="R1977" s="366" t="s">
        <v>2154</v>
      </c>
      <c r="S1977" s="366" t="s">
        <v>203</v>
      </c>
    </row>
    <row r="1978" spans="1:19" ht="12.75" hidden="1" customHeight="1" outlineLevel="1">
      <c r="B1978" s="384">
        <v>2025</v>
      </c>
      <c r="C1978" s="384">
        <v>10</v>
      </c>
      <c r="D1978" s="367" t="s">
        <v>5</v>
      </c>
      <c r="E1978" s="367" t="s">
        <v>6</v>
      </c>
      <c r="F1978" s="389" t="s">
        <v>3248</v>
      </c>
      <c r="G1978" s="385">
        <v>45763</v>
      </c>
      <c r="H1978" s="367" t="s">
        <v>7</v>
      </c>
      <c r="I1978" s="368" t="str">
        <f>VLOOKUP(H1978,'Source Codes'!A$2:B$115,2,FALSE)</f>
        <v>HRMS Interface Journals</v>
      </c>
      <c r="J1978" s="412">
        <v>-2531910.08</v>
      </c>
      <c r="K1978" s="385">
        <v>45764</v>
      </c>
      <c r="L1978" s="369" t="s">
        <v>409</v>
      </c>
      <c r="M1978" s="390">
        <v>45764.527604166666</v>
      </c>
      <c r="N1978" s="367" t="s">
        <v>378</v>
      </c>
      <c r="O1978" s="368" t="s">
        <v>371</v>
      </c>
      <c r="P1978" s="368" t="s">
        <v>2613</v>
      </c>
      <c r="Q1978" s="366" t="s">
        <v>379</v>
      </c>
      <c r="R1978" s="366" t="s">
        <v>3251</v>
      </c>
      <c r="S1978" s="366">
        <v>513120</v>
      </c>
    </row>
    <row r="1979" spans="1:19" ht="12.75" hidden="1" customHeight="1" outlineLevel="1">
      <c r="B1979" s="384">
        <v>2025</v>
      </c>
      <c r="C1979" s="384">
        <v>10</v>
      </c>
      <c r="D1979" s="367" t="s">
        <v>5</v>
      </c>
      <c r="E1979" s="367" t="s">
        <v>6</v>
      </c>
      <c r="F1979" s="389" t="s">
        <v>3249</v>
      </c>
      <c r="G1979" s="385">
        <v>45763</v>
      </c>
      <c r="H1979" s="367" t="s">
        <v>7</v>
      </c>
      <c r="I1979" s="368" t="str">
        <f>VLOOKUP(H1979,'Source Codes'!A$2:B$115,2,FALSE)</f>
        <v>HRMS Interface Journals</v>
      </c>
      <c r="J1979" s="412">
        <v>-11172880.939999999</v>
      </c>
      <c r="K1979" s="385">
        <v>45764</v>
      </c>
      <c r="L1979" s="369" t="s">
        <v>407</v>
      </c>
      <c r="M1979" s="390">
        <v>45764.517164351855</v>
      </c>
      <c r="N1979" s="367" t="s">
        <v>378</v>
      </c>
      <c r="O1979" s="368" t="s">
        <v>371</v>
      </c>
      <c r="P1979" s="368" t="s">
        <v>2613</v>
      </c>
      <c r="Q1979" s="366" t="s">
        <v>379</v>
      </c>
      <c r="R1979" s="366" t="s">
        <v>3251</v>
      </c>
      <c r="S1979" s="366" t="s">
        <v>203</v>
      </c>
    </row>
    <row r="1980" spans="1:19" ht="12.75" customHeight="1" collapsed="1">
      <c r="J1980" s="416">
        <f>SUM(J1977:J1979)</f>
        <v>-14925402.989999998</v>
      </c>
    </row>
    <row r="1982" spans="1:19" ht="12.75" customHeight="1">
      <c r="A1982" s="378" t="s">
        <v>3252</v>
      </c>
    </row>
    <row r="1983" spans="1:19" ht="90" hidden="1" outlineLevel="1">
      <c r="B1983" s="384">
        <v>2025</v>
      </c>
      <c r="C1983" s="384">
        <v>10</v>
      </c>
      <c r="D1983" s="367" t="s">
        <v>5</v>
      </c>
      <c r="E1983" s="367" t="s">
        <v>6</v>
      </c>
      <c r="F1983" s="389" t="s">
        <v>3253</v>
      </c>
      <c r="G1983" s="385">
        <v>45768</v>
      </c>
      <c r="H1983" s="367" t="s">
        <v>14</v>
      </c>
      <c r="I1983" s="368" t="str">
        <f>VLOOKUP(H1983,'Source Codes'!A$2:B$115,2,FALSE)</f>
        <v>AP Warrant Issuance</v>
      </c>
      <c r="J1983" s="412">
        <v>-63144130.170000002</v>
      </c>
      <c r="K1983" s="385">
        <v>45768</v>
      </c>
      <c r="L1983" s="369" t="s">
        <v>3276</v>
      </c>
      <c r="M1983" s="390">
        <v>45768.793657407405</v>
      </c>
      <c r="N1983" s="368" t="s">
        <v>361</v>
      </c>
      <c r="O1983" s="368" t="s">
        <v>370</v>
      </c>
      <c r="P1983" s="368" t="s">
        <v>2613</v>
      </c>
      <c r="Q1983" s="366" t="s">
        <v>2975</v>
      </c>
      <c r="R1983" s="366" t="s">
        <v>3959</v>
      </c>
      <c r="S1983" s="366" t="s">
        <v>3266</v>
      </c>
    </row>
    <row r="1984" spans="1:19" ht="60" hidden="1" outlineLevel="1">
      <c r="B1984" s="384">
        <v>2025</v>
      </c>
      <c r="C1984" s="384">
        <v>10</v>
      </c>
      <c r="D1984" s="367" t="s">
        <v>5</v>
      </c>
      <c r="E1984" s="367" t="s">
        <v>6</v>
      </c>
      <c r="F1984" s="389" t="s">
        <v>3254</v>
      </c>
      <c r="G1984" s="385">
        <v>45768</v>
      </c>
      <c r="H1984" s="367" t="s">
        <v>14</v>
      </c>
      <c r="I1984" s="368" t="str">
        <f>VLOOKUP(H1984,'Source Codes'!A$2:B$115,2,FALSE)</f>
        <v>AP Warrant Issuance</v>
      </c>
      <c r="J1984" s="412">
        <v>-3788778.17</v>
      </c>
      <c r="K1984" s="385">
        <v>45768</v>
      </c>
      <c r="L1984" s="369" t="s">
        <v>3275</v>
      </c>
      <c r="M1984" s="390">
        <v>45768.793657407405</v>
      </c>
      <c r="N1984" s="368" t="s">
        <v>361</v>
      </c>
      <c r="O1984" s="368" t="s">
        <v>363</v>
      </c>
      <c r="P1984" s="368" t="s">
        <v>2613</v>
      </c>
      <c r="Q1984" s="366" t="s">
        <v>2446</v>
      </c>
      <c r="R1984" s="366" t="s">
        <v>3267</v>
      </c>
      <c r="S1984" s="366">
        <v>208100</v>
      </c>
    </row>
    <row r="1985" spans="1:19" ht="60" hidden="1" outlineLevel="1">
      <c r="B1985" s="384">
        <v>2025</v>
      </c>
      <c r="C1985" s="384">
        <v>10</v>
      </c>
      <c r="D1985" s="367" t="s">
        <v>5</v>
      </c>
      <c r="E1985" s="367" t="s">
        <v>6</v>
      </c>
      <c r="F1985" s="389" t="s">
        <v>3255</v>
      </c>
      <c r="G1985" s="385">
        <v>45768</v>
      </c>
      <c r="H1985" s="367" t="s">
        <v>14</v>
      </c>
      <c r="I1985" s="368" t="str">
        <f>VLOOKUP(H1985,'Source Codes'!A$2:B$115,2,FALSE)</f>
        <v>AP Warrant Issuance</v>
      </c>
      <c r="J1985" s="412">
        <v>-1631792</v>
      </c>
      <c r="K1985" s="385">
        <v>45768</v>
      </c>
      <c r="L1985" s="369" t="s">
        <v>3277</v>
      </c>
      <c r="M1985" s="390">
        <v>45768.793657407405</v>
      </c>
      <c r="N1985" s="368" t="s">
        <v>359</v>
      </c>
      <c r="O1985" s="368" t="s">
        <v>368</v>
      </c>
      <c r="P1985" s="368" t="str">
        <f>IF(J1985&gt;0,"Revenue",IF(J1985&lt;0,"Expense"))</f>
        <v>Expense</v>
      </c>
      <c r="Q1985" s="366" t="s">
        <v>2154</v>
      </c>
      <c r="R1985" s="366" t="s">
        <v>2154</v>
      </c>
      <c r="S1985" s="366">
        <v>530280</v>
      </c>
    </row>
    <row r="1986" spans="1:19" ht="30" hidden="1" outlineLevel="1">
      <c r="B1986" s="384">
        <v>2025</v>
      </c>
      <c r="C1986" s="384">
        <v>10</v>
      </c>
      <c r="D1986" s="367" t="s">
        <v>5</v>
      </c>
      <c r="E1986" s="367" t="s">
        <v>6</v>
      </c>
      <c r="F1986" s="389" t="s">
        <v>3256</v>
      </c>
      <c r="G1986" s="385">
        <v>45763</v>
      </c>
      <c r="H1986" s="367" t="s">
        <v>12</v>
      </c>
      <c r="I1986" s="368" t="str">
        <f>VLOOKUP(H1986,'Source Codes'!A$2:B$115,2,FALSE)</f>
        <v>AR Direct Cash Journal</v>
      </c>
      <c r="J1986" s="412">
        <v>11537208</v>
      </c>
      <c r="K1986" s="385">
        <v>45768</v>
      </c>
      <c r="L1986" s="369" t="s">
        <v>3268</v>
      </c>
      <c r="M1986" s="390">
        <v>45768.752199074072</v>
      </c>
      <c r="N1986" s="368" t="s">
        <v>387</v>
      </c>
      <c r="O1986" s="368" t="s">
        <v>358</v>
      </c>
      <c r="P1986" s="368" t="str">
        <f>IF(J1986&gt;0,"Revenue",IF(J1986&lt;0,"Expense"))</f>
        <v>Revenue</v>
      </c>
      <c r="Q1986" s="368" t="s">
        <v>2629</v>
      </c>
      <c r="R1986" s="393" t="s">
        <v>3269</v>
      </c>
      <c r="S1986" s="366">
        <v>782000</v>
      </c>
    </row>
    <row r="1987" spans="1:19" ht="45" hidden="1" outlineLevel="1">
      <c r="B1987" s="384">
        <v>2025</v>
      </c>
      <c r="C1987" s="384">
        <v>10</v>
      </c>
      <c r="D1987" s="367" t="s">
        <v>5</v>
      </c>
      <c r="E1987" s="367" t="s">
        <v>6</v>
      </c>
      <c r="F1987" s="389" t="s">
        <v>3257</v>
      </c>
      <c r="G1987" s="385">
        <v>45763</v>
      </c>
      <c r="H1987" s="367" t="s">
        <v>11</v>
      </c>
      <c r="I1987" s="368" t="str">
        <f>VLOOKUP(H1987,'Source Codes'!A$2:B$115,2,FALSE)</f>
        <v>AR Payments</v>
      </c>
      <c r="J1987" s="412">
        <v>4474530.2699999996</v>
      </c>
      <c r="K1987" s="385">
        <v>45768</v>
      </c>
      <c r="L1987" s="387" t="s">
        <v>3270</v>
      </c>
      <c r="M1987" s="390">
        <v>45768.752199074072</v>
      </c>
      <c r="N1987" s="367" t="s">
        <v>359</v>
      </c>
      <c r="O1987" s="368" t="s">
        <v>357</v>
      </c>
      <c r="P1987" s="368" t="str">
        <f>IF(J1987&gt;0,"Revenue",IF(J1987&lt;0,"Expense"))</f>
        <v>Revenue</v>
      </c>
      <c r="Q1987" s="366" t="s">
        <v>2157</v>
      </c>
      <c r="R1987" s="366" t="s">
        <v>2857</v>
      </c>
      <c r="S1987" s="366">
        <v>118501</v>
      </c>
    </row>
    <row r="1988" spans="1:19" ht="30" hidden="1" outlineLevel="1">
      <c r="B1988" s="384">
        <v>2025</v>
      </c>
      <c r="C1988" s="384">
        <v>10</v>
      </c>
      <c r="D1988" s="367" t="s">
        <v>5</v>
      </c>
      <c r="E1988" s="367" t="s">
        <v>6</v>
      </c>
      <c r="F1988" s="389" t="s">
        <v>3258</v>
      </c>
      <c r="G1988" s="385">
        <v>45758</v>
      </c>
      <c r="H1988" s="367" t="s">
        <v>11</v>
      </c>
      <c r="I1988" s="368" t="str">
        <f>VLOOKUP(H1988,'Source Codes'!A$2:B$115,2,FALSE)</f>
        <v>AR Payments</v>
      </c>
      <c r="J1988" s="412">
        <v>2000000</v>
      </c>
      <c r="K1988" s="385">
        <v>45768</v>
      </c>
      <c r="L1988" s="382" t="s">
        <v>3278</v>
      </c>
      <c r="M1988" s="390">
        <v>45768.752199074072</v>
      </c>
      <c r="N1988" s="368" t="s">
        <v>387</v>
      </c>
      <c r="O1988" s="368" t="s">
        <v>376</v>
      </c>
      <c r="P1988" s="368" t="s">
        <v>2290</v>
      </c>
      <c r="Q1988" s="366" t="s">
        <v>3271</v>
      </c>
      <c r="R1988" s="366" t="s">
        <v>3274</v>
      </c>
      <c r="S1988" s="366">
        <v>112100</v>
      </c>
    </row>
    <row r="1989" spans="1:19" ht="15" hidden="1" outlineLevel="1">
      <c r="B1989" s="384">
        <v>2025</v>
      </c>
      <c r="C1989" s="384">
        <v>10</v>
      </c>
      <c r="D1989" s="367" t="s">
        <v>5</v>
      </c>
      <c r="E1989" s="367" t="s">
        <v>6</v>
      </c>
      <c r="F1989" s="389" t="s">
        <v>3259</v>
      </c>
      <c r="G1989" s="385">
        <v>45763</v>
      </c>
      <c r="H1989" s="367" t="s">
        <v>7</v>
      </c>
      <c r="I1989" s="368" t="str">
        <f>VLOOKUP(H1989,'Source Codes'!A$2:B$115,2,FALSE)</f>
        <v>HRMS Interface Journals</v>
      </c>
      <c r="J1989" s="412">
        <v>-69946558.670000002</v>
      </c>
      <c r="K1989" s="385">
        <v>45768</v>
      </c>
      <c r="L1989" s="369" t="s">
        <v>406</v>
      </c>
      <c r="M1989" s="390">
        <v>45768.343842592592</v>
      </c>
      <c r="N1989" s="367" t="s">
        <v>378</v>
      </c>
      <c r="O1989" s="368" t="s">
        <v>371</v>
      </c>
      <c r="P1989" s="367" t="str">
        <f>IF(J1989&gt;0,"Revenue",IF(J1989&lt;0,"Expense"))</f>
        <v>Expense</v>
      </c>
      <c r="Q1989" s="366" t="s">
        <v>379</v>
      </c>
      <c r="R1989" s="393" t="s">
        <v>3251</v>
      </c>
      <c r="S1989" s="395" t="s">
        <v>303</v>
      </c>
    </row>
    <row r="1990" spans="1:19" ht="30" hidden="1" outlineLevel="1">
      <c r="B1990" s="384">
        <v>2025</v>
      </c>
      <c r="C1990" s="384">
        <v>10</v>
      </c>
      <c r="D1990" s="367" t="s">
        <v>5</v>
      </c>
      <c r="E1990" s="367" t="s">
        <v>6</v>
      </c>
      <c r="F1990" s="389" t="s">
        <v>3260</v>
      </c>
      <c r="G1990" s="385">
        <v>45748</v>
      </c>
      <c r="H1990" s="367" t="s">
        <v>9</v>
      </c>
      <c r="I1990" s="368" t="str">
        <f>VLOOKUP(H1990,'Source Codes'!A$2:B$115,2,FALSE)</f>
        <v>On Line Journal Entries</v>
      </c>
      <c r="J1990" s="412">
        <v>-5075223.83</v>
      </c>
      <c r="K1990" s="385">
        <v>45768</v>
      </c>
      <c r="L1990" s="369" t="s">
        <v>3262</v>
      </c>
      <c r="M1990" s="390">
        <v>45768.870439814818</v>
      </c>
      <c r="N1990" s="368" t="s">
        <v>359</v>
      </c>
      <c r="O1990" s="368" t="s">
        <v>374</v>
      </c>
      <c r="P1990" s="368" t="s">
        <v>2613</v>
      </c>
      <c r="Q1990" s="366" t="s">
        <v>2202</v>
      </c>
      <c r="R1990" s="366" t="s">
        <v>3273</v>
      </c>
      <c r="S1990" s="366">
        <v>525840</v>
      </c>
    </row>
    <row r="1991" spans="1:19" ht="30" hidden="1" outlineLevel="1">
      <c r="B1991" s="384">
        <v>2025</v>
      </c>
      <c r="C1991" s="384">
        <v>10</v>
      </c>
      <c r="D1991" s="367" t="s">
        <v>5</v>
      </c>
      <c r="E1991" s="367" t="s">
        <v>6</v>
      </c>
      <c r="F1991" s="389" t="s">
        <v>3261</v>
      </c>
      <c r="G1991" s="385">
        <v>45763</v>
      </c>
      <c r="H1991" s="367" t="s">
        <v>337</v>
      </c>
      <c r="I1991" s="368" t="str">
        <f>VLOOKUP(H1991,'Source Codes'!A$2:B$115,2,FALSE)</f>
        <v>Facilities Mngmnt Intfc Jrnls</v>
      </c>
      <c r="J1991" s="412">
        <v>-4293187.6900000004</v>
      </c>
      <c r="K1991" s="385">
        <v>45768</v>
      </c>
      <c r="L1991" s="369" t="s">
        <v>3263</v>
      </c>
      <c r="M1991" s="390">
        <v>45768.870532407411</v>
      </c>
      <c r="N1991" s="368" t="s">
        <v>359</v>
      </c>
      <c r="O1991" s="368" t="s">
        <v>367</v>
      </c>
      <c r="P1991" s="368" t="s">
        <v>2613</v>
      </c>
      <c r="Q1991" s="366" t="s">
        <v>2237</v>
      </c>
      <c r="R1991" s="366" t="s">
        <v>4542</v>
      </c>
      <c r="S1991" s="366" t="s">
        <v>2239</v>
      </c>
    </row>
    <row r="1992" spans="1:19" ht="30" hidden="1" outlineLevel="1">
      <c r="B1992" s="384">
        <v>2025</v>
      </c>
      <c r="C1992" s="384">
        <v>10</v>
      </c>
      <c r="D1992" s="367" t="s">
        <v>5</v>
      </c>
      <c r="E1992" s="367" t="s">
        <v>6</v>
      </c>
      <c r="F1992" s="389" t="s">
        <v>3264</v>
      </c>
      <c r="G1992" s="385">
        <v>45765</v>
      </c>
      <c r="H1992" s="367" t="s">
        <v>9</v>
      </c>
      <c r="I1992" s="368" t="str">
        <f>VLOOKUP(H1992,'Source Codes'!A$2:B$115,2,FALSE)</f>
        <v>On Line Journal Entries</v>
      </c>
      <c r="J1992" s="412">
        <v>4499208</v>
      </c>
      <c r="K1992" s="385">
        <v>45768</v>
      </c>
      <c r="L1992" s="369" t="s">
        <v>3265</v>
      </c>
      <c r="M1992" s="390">
        <v>45768.870439814818</v>
      </c>
      <c r="N1992" s="368" t="s">
        <v>359</v>
      </c>
      <c r="O1992" s="368" t="s">
        <v>369</v>
      </c>
      <c r="P1992" s="368" t="s">
        <v>2290</v>
      </c>
      <c r="Q1992" s="366" t="s">
        <v>2268</v>
      </c>
      <c r="R1992" s="393">
        <v>45748</v>
      </c>
      <c r="S1992" s="366" t="s">
        <v>2534</v>
      </c>
    </row>
    <row r="1993" spans="1:19" ht="12.75" customHeight="1" collapsed="1">
      <c r="J1993" s="413">
        <f>SUM(J1983:J1992)</f>
        <v>-125368724.26000001</v>
      </c>
    </row>
    <row r="1996" spans="1:19" ht="12.75" customHeight="1">
      <c r="A1996" s="378" t="s">
        <v>3279</v>
      </c>
    </row>
    <row r="1997" spans="1:19" ht="30" hidden="1" outlineLevel="1">
      <c r="B1997" s="384">
        <v>2025</v>
      </c>
      <c r="C1997" s="384">
        <v>10</v>
      </c>
      <c r="D1997" s="367" t="s">
        <v>5</v>
      </c>
      <c r="E1997" s="367" t="s">
        <v>6</v>
      </c>
      <c r="F1997" s="389" t="s">
        <v>3280</v>
      </c>
      <c r="G1997" s="385">
        <v>45761</v>
      </c>
      <c r="H1997" s="367" t="s">
        <v>9</v>
      </c>
      <c r="I1997" s="368" t="str">
        <f>VLOOKUP(H1997,'Source Codes'!A$2:B$115,2,FALSE)</f>
        <v>On Line Journal Entries</v>
      </c>
      <c r="J1997" s="412">
        <v>1238439</v>
      </c>
      <c r="K1997" s="385">
        <v>45769</v>
      </c>
      <c r="L1997" s="369" t="s">
        <v>3285</v>
      </c>
      <c r="M1997" s="390">
        <v>45769.349722222221</v>
      </c>
      <c r="N1997" s="368" t="s">
        <v>2185</v>
      </c>
      <c r="O1997" s="368" t="s">
        <v>358</v>
      </c>
      <c r="P1997" s="368" t="str">
        <f>IF(J1997&gt;0,"Revenue",IF(J1997&lt;0,"Expense"))</f>
        <v>Revenue</v>
      </c>
      <c r="Q1997" s="366" t="s">
        <v>3283</v>
      </c>
      <c r="R1997" s="393" t="s">
        <v>3283</v>
      </c>
      <c r="S1997" s="366">
        <v>790600</v>
      </c>
    </row>
    <row r="1998" spans="1:19" ht="15" hidden="1" outlineLevel="1">
      <c r="B1998" s="384">
        <v>2025</v>
      </c>
      <c r="C1998" s="384">
        <v>10</v>
      </c>
      <c r="D1998" s="367" t="s">
        <v>5</v>
      </c>
      <c r="E1998" s="367" t="s">
        <v>6</v>
      </c>
      <c r="F1998" s="389" t="s">
        <v>3281</v>
      </c>
      <c r="G1998" s="385">
        <v>45754</v>
      </c>
      <c r="H1998" s="367" t="s">
        <v>9</v>
      </c>
      <c r="I1998" s="368" t="str">
        <f>VLOOKUP(H1998,'Source Codes'!A$2:B$115,2,FALSE)</f>
        <v>On Line Journal Entries</v>
      </c>
      <c r="J1998" s="412">
        <v>-1542083</v>
      </c>
      <c r="K1998" s="385">
        <v>45769</v>
      </c>
      <c r="L1998" s="369" t="s">
        <v>3282</v>
      </c>
      <c r="M1998" s="390">
        <v>45769.87059027778</v>
      </c>
      <c r="N1998" s="368" t="s">
        <v>359</v>
      </c>
      <c r="O1998" s="368" t="s">
        <v>368</v>
      </c>
      <c r="P1998" s="368" t="str">
        <f>IF(J1998&gt;0,"Revenue",IF(J1998&lt;0,"Expense"))</f>
        <v>Expense</v>
      </c>
      <c r="Q1998" s="366" t="s">
        <v>2219</v>
      </c>
      <c r="R1998" s="366" t="s">
        <v>3284</v>
      </c>
      <c r="S1998" s="366">
        <v>530280</v>
      </c>
    </row>
    <row r="1999" spans="1:19" ht="12.75" customHeight="1" collapsed="1">
      <c r="J1999" s="413">
        <f>SUM(J1997:J1998)</f>
        <v>-303644</v>
      </c>
    </row>
    <row r="2001" spans="1:19" ht="12.75" customHeight="1">
      <c r="A2001" s="378" t="s">
        <v>3286</v>
      </c>
    </row>
    <row r="2002" spans="1:19" ht="30" hidden="1" outlineLevel="1">
      <c r="B2002" s="384">
        <v>2025</v>
      </c>
      <c r="C2002" s="384">
        <v>10</v>
      </c>
      <c r="D2002" s="367" t="s">
        <v>5</v>
      </c>
      <c r="E2002" s="367" t="s">
        <v>6</v>
      </c>
      <c r="F2002" s="389" t="s">
        <v>3287</v>
      </c>
      <c r="G2002" s="385">
        <v>45750</v>
      </c>
      <c r="H2002" s="367" t="s">
        <v>12</v>
      </c>
      <c r="I2002" s="368" t="str">
        <f>VLOOKUP(H2002,'Source Codes'!A$2:B$115,2,FALSE)</f>
        <v>AR Direct Cash Journal</v>
      </c>
      <c r="J2002" s="412">
        <v>14370670.91</v>
      </c>
      <c r="K2002" s="385">
        <v>45770</v>
      </c>
      <c r="L2002" s="369" t="s">
        <v>3288</v>
      </c>
      <c r="M2002" s="390">
        <v>45770.752175925925</v>
      </c>
      <c r="N2002" s="368" t="s">
        <v>359</v>
      </c>
      <c r="O2002" s="368" t="s">
        <v>368</v>
      </c>
      <c r="P2002" s="368" t="str">
        <f>IF(J2002&gt;0,"Revenue",IF(J2002&lt;0,"Expense"))</f>
        <v>Revenue</v>
      </c>
      <c r="Q2002" s="366" t="s">
        <v>2177</v>
      </c>
      <c r="R2002" s="393" t="s">
        <v>2214</v>
      </c>
      <c r="S2002" s="366" t="s">
        <v>203</v>
      </c>
    </row>
    <row r="2003" spans="1:19" ht="12.75" customHeight="1" collapsed="1">
      <c r="J2003" s="413">
        <f>SUM(J2002)</f>
        <v>14370670.91</v>
      </c>
    </row>
    <row r="2005" spans="1:19" ht="12.75" customHeight="1">
      <c r="A2005" s="378" t="s">
        <v>3289</v>
      </c>
    </row>
    <row r="2006" spans="1:19" ht="30" hidden="1" outlineLevel="1">
      <c r="B2006" s="384">
        <v>2025</v>
      </c>
      <c r="C2006" s="384">
        <v>10</v>
      </c>
      <c r="D2006" s="367" t="s">
        <v>5</v>
      </c>
      <c r="E2006" s="367" t="s">
        <v>6</v>
      </c>
      <c r="F2006" s="389" t="s">
        <v>3290</v>
      </c>
      <c r="G2006" s="385">
        <v>45765</v>
      </c>
      <c r="H2006" s="367" t="s">
        <v>12</v>
      </c>
      <c r="I2006" s="368" t="str">
        <f>VLOOKUP(H2006,'Source Codes'!A$2:B$115,2,FALSE)</f>
        <v>AR Direct Cash Journal</v>
      </c>
      <c r="J2006" s="412">
        <v>17030476.960000001</v>
      </c>
      <c r="K2006" s="385">
        <v>45771</v>
      </c>
      <c r="L2006" s="369" t="s">
        <v>3294</v>
      </c>
      <c r="M2006" s="390">
        <v>45771.752187500002</v>
      </c>
      <c r="N2006" s="368" t="s">
        <v>359</v>
      </c>
      <c r="O2006" s="368" t="s">
        <v>368</v>
      </c>
      <c r="P2006" s="368" t="str">
        <f>IF(J2006&gt;0,"Revenue",IF(J2006&lt;0,"Expense"))</f>
        <v>Revenue</v>
      </c>
      <c r="Q2006" s="366" t="s">
        <v>2177</v>
      </c>
      <c r="R2006" s="393" t="s">
        <v>2214</v>
      </c>
      <c r="S2006" s="366" t="s">
        <v>203</v>
      </c>
    </row>
    <row r="2007" spans="1:19" ht="30" hidden="1" outlineLevel="1">
      <c r="B2007" s="384">
        <v>2025</v>
      </c>
      <c r="C2007" s="384">
        <v>10</v>
      </c>
      <c r="D2007" s="367" t="s">
        <v>5</v>
      </c>
      <c r="E2007" s="367" t="s">
        <v>6</v>
      </c>
      <c r="F2007" s="389" t="s">
        <v>3291</v>
      </c>
      <c r="G2007" s="385">
        <v>45770</v>
      </c>
      <c r="H2007" s="367" t="s">
        <v>9</v>
      </c>
      <c r="I2007" s="368" t="str">
        <f>VLOOKUP(H2007,'Source Codes'!A$2:B$115,2,FALSE)</f>
        <v>On Line Journal Entries</v>
      </c>
      <c r="J2007" s="412">
        <v>6550058</v>
      </c>
      <c r="K2007" s="385">
        <v>45771</v>
      </c>
      <c r="L2007" s="369" t="s">
        <v>344</v>
      </c>
      <c r="M2007" s="390">
        <v>45771.870775462965</v>
      </c>
      <c r="N2007" s="368" t="s">
        <v>359</v>
      </c>
      <c r="O2007" s="368" t="s">
        <v>364</v>
      </c>
      <c r="P2007" s="368" t="str">
        <f>IF(J2007&gt;0,"Revenue",IF(J2007&lt;0,"Expense"))</f>
        <v>Revenue</v>
      </c>
      <c r="Q2007" s="366" t="s">
        <v>2177</v>
      </c>
      <c r="R2007" s="393" t="s">
        <v>3296</v>
      </c>
      <c r="S2007" s="366">
        <v>230129</v>
      </c>
    </row>
    <row r="2008" spans="1:19" ht="15" hidden="1" outlineLevel="1">
      <c r="B2008" s="384">
        <v>2025</v>
      </c>
      <c r="C2008" s="384">
        <v>10</v>
      </c>
      <c r="D2008" s="367" t="s">
        <v>5</v>
      </c>
      <c r="E2008" s="367" t="s">
        <v>6</v>
      </c>
      <c r="F2008" s="389" t="s">
        <v>3292</v>
      </c>
      <c r="G2008" s="385">
        <v>45771</v>
      </c>
      <c r="H2008" s="367" t="s">
        <v>110</v>
      </c>
      <c r="I2008" s="368" t="str">
        <f>VLOOKUP(H2008,'Source Codes'!A$2:B$115,2,FALSE)</f>
        <v>Treasurers Interest Apportion</v>
      </c>
      <c r="J2008" s="412">
        <v>2159916.96</v>
      </c>
      <c r="K2008" s="385">
        <v>45771</v>
      </c>
      <c r="L2008" s="369" t="s">
        <v>3293</v>
      </c>
      <c r="M2008" s="390">
        <v>45771.553113425929</v>
      </c>
      <c r="N2008" s="367" t="s">
        <v>361</v>
      </c>
      <c r="O2008" s="368" t="s">
        <v>371</v>
      </c>
      <c r="P2008" s="367" t="str">
        <f>IF(J2008&gt;0,"Revenue",IF(J2008&lt;0,"Expense"))</f>
        <v>Revenue</v>
      </c>
      <c r="Q2008" s="366" t="s">
        <v>2363</v>
      </c>
      <c r="R2008" s="366" t="s">
        <v>3295</v>
      </c>
      <c r="S2008" s="366">
        <v>740020</v>
      </c>
    </row>
    <row r="2009" spans="1:19" ht="12.75" customHeight="1" collapsed="1">
      <c r="J2009" s="413">
        <f>SUM(J2006:J2008)</f>
        <v>25740451.920000002</v>
      </c>
    </row>
    <row r="2011" spans="1:19" ht="12.75" customHeight="1">
      <c r="A2011" s="378" t="s">
        <v>3297</v>
      </c>
    </row>
    <row r="2012" spans="1:19" ht="45" hidden="1" outlineLevel="2">
      <c r="B2012" s="384">
        <v>2025</v>
      </c>
      <c r="C2012" s="384">
        <v>10</v>
      </c>
      <c r="D2012" s="367" t="s">
        <v>5</v>
      </c>
      <c r="E2012" s="367" t="s">
        <v>6</v>
      </c>
      <c r="F2012" s="389" t="s">
        <v>3298</v>
      </c>
      <c r="G2012" s="385">
        <v>45772</v>
      </c>
      <c r="H2012" s="367" t="s">
        <v>12</v>
      </c>
      <c r="I2012" s="368" t="str">
        <f>VLOOKUP(H2012,'Source Codes'!A$2:B$115,2,FALSE)</f>
        <v>AR Direct Cash Journal</v>
      </c>
      <c r="J2012" s="412">
        <v>1008413.73</v>
      </c>
      <c r="K2012" s="385">
        <v>45772</v>
      </c>
      <c r="L2012" s="369" t="s">
        <v>3301</v>
      </c>
      <c r="M2012" s="390">
        <v>45772.751932870371</v>
      </c>
      <c r="N2012" s="368" t="s">
        <v>387</v>
      </c>
      <c r="O2012" s="368" t="s">
        <v>385</v>
      </c>
      <c r="P2012" s="368" t="str">
        <f>IF(J2012&gt;0,"Revenue",IF(J2012&lt;0,"Expense"))</f>
        <v>Revenue</v>
      </c>
      <c r="Q2012" s="366" t="s">
        <v>2757</v>
      </c>
      <c r="R2012" s="393" t="s">
        <v>2757</v>
      </c>
      <c r="S2012" s="366" t="s">
        <v>203</v>
      </c>
    </row>
    <row r="2013" spans="1:19" ht="45" hidden="1" outlineLevel="2">
      <c r="B2013" s="384">
        <v>2025</v>
      </c>
      <c r="C2013" s="384">
        <v>10</v>
      </c>
      <c r="D2013" s="367" t="s">
        <v>5</v>
      </c>
      <c r="E2013" s="367" t="s">
        <v>6</v>
      </c>
      <c r="F2013" s="389" t="s">
        <v>3299</v>
      </c>
      <c r="G2013" s="385">
        <v>45772</v>
      </c>
      <c r="H2013" s="367" t="s">
        <v>12</v>
      </c>
      <c r="I2013" s="368" t="str">
        <f>VLOOKUP(H2013,'Source Codes'!A$2:B$115,2,FALSE)</f>
        <v>AR Direct Cash Journal</v>
      </c>
      <c r="J2013" s="412">
        <v>3244522.55</v>
      </c>
      <c r="K2013" s="385">
        <v>45772</v>
      </c>
      <c r="L2013" s="369" t="s">
        <v>3303</v>
      </c>
      <c r="M2013" s="390">
        <v>45772.751932870371</v>
      </c>
      <c r="N2013" s="368" t="s">
        <v>359</v>
      </c>
      <c r="O2013" s="368" t="s">
        <v>371</v>
      </c>
      <c r="P2013" s="368" t="str">
        <f>IF(J2013&gt;0,"Revenue",IF(J2013&lt;0,"Expense"))</f>
        <v>Revenue</v>
      </c>
      <c r="Q2013" s="366" t="s">
        <v>2316</v>
      </c>
      <c r="R2013" s="393" t="s">
        <v>2316</v>
      </c>
      <c r="S2013" s="366">
        <v>710020</v>
      </c>
    </row>
    <row r="2014" spans="1:19" ht="45" hidden="1" outlineLevel="2">
      <c r="B2014" s="384">
        <v>2025</v>
      </c>
      <c r="C2014" s="384">
        <v>10</v>
      </c>
      <c r="D2014" s="367" t="s">
        <v>5</v>
      </c>
      <c r="E2014" s="367" t="s">
        <v>6</v>
      </c>
      <c r="F2014" s="389" t="s">
        <v>3300</v>
      </c>
      <c r="G2014" s="385">
        <v>45771</v>
      </c>
      <c r="H2014" s="367" t="s">
        <v>12</v>
      </c>
      <c r="I2014" s="368" t="str">
        <f>VLOOKUP(H2014,'Source Codes'!A$2:B$115,2,FALSE)</f>
        <v>AR Direct Cash Journal</v>
      </c>
      <c r="J2014" s="412">
        <v>5594346.5800000001</v>
      </c>
      <c r="K2014" s="385">
        <v>45772</v>
      </c>
      <c r="L2014" s="369" t="s">
        <v>3302</v>
      </c>
      <c r="M2014" s="390">
        <v>45772.751932870371</v>
      </c>
      <c r="N2014" s="367" t="s">
        <v>361</v>
      </c>
      <c r="O2014" s="368" t="s">
        <v>370</v>
      </c>
      <c r="P2014" s="367" t="s">
        <v>2290</v>
      </c>
      <c r="Q2014" s="366" t="s">
        <v>2264</v>
      </c>
      <c r="R2014" s="366" t="s">
        <v>2265</v>
      </c>
      <c r="S2014" s="366">
        <v>779110</v>
      </c>
    </row>
    <row r="2015" spans="1:19" ht="12.75" customHeight="1" collapsed="1">
      <c r="B2015" s="384"/>
      <c r="C2015" s="384"/>
      <c r="D2015" s="367"/>
      <c r="E2015" s="367"/>
      <c r="F2015" s="389"/>
      <c r="G2015" s="385"/>
      <c r="H2015" s="367"/>
      <c r="I2015" s="368"/>
      <c r="J2015" s="415">
        <f>SUM(J2012:J2014)</f>
        <v>9847282.8599999994</v>
      </c>
      <c r="K2015" s="385"/>
      <c r="L2015" s="369"/>
      <c r="M2015" s="390"/>
      <c r="N2015" s="367"/>
      <c r="O2015" s="368"/>
      <c r="P2015" s="367"/>
      <c r="Q2015" s="366"/>
      <c r="R2015" s="366"/>
      <c r="S2015" s="366"/>
    </row>
    <row r="2017" spans="1:19" ht="12.75" customHeight="1">
      <c r="A2017" s="378" t="s">
        <v>3304</v>
      </c>
    </row>
    <row r="2018" spans="1:19" ht="30" hidden="1" outlineLevel="1">
      <c r="B2018" s="384">
        <v>2025</v>
      </c>
      <c r="C2018" s="384">
        <v>10</v>
      </c>
      <c r="D2018" s="367" t="s">
        <v>5</v>
      </c>
      <c r="E2018" s="367" t="s">
        <v>6</v>
      </c>
      <c r="F2018" s="389" t="s">
        <v>3305</v>
      </c>
      <c r="G2018" s="385">
        <v>45775</v>
      </c>
      <c r="H2018" s="367" t="s">
        <v>12</v>
      </c>
      <c r="I2018" s="368" t="str">
        <f>VLOOKUP(H2018,'Source Codes'!A$2:B$115,2,FALSE)</f>
        <v>AR Direct Cash Journal</v>
      </c>
      <c r="J2018" s="412">
        <v>4716815.87</v>
      </c>
      <c r="K2018" s="385">
        <v>45775</v>
      </c>
      <c r="L2018" s="369" t="s">
        <v>3307</v>
      </c>
      <c r="M2018" s="390">
        <v>45775.75203703704</v>
      </c>
      <c r="N2018" s="367" t="s">
        <v>359</v>
      </c>
      <c r="O2018" s="368" t="s">
        <v>371</v>
      </c>
      <c r="P2018" s="367" t="s">
        <v>2290</v>
      </c>
      <c r="Q2018" s="366" t="s">
        <v>2346</v>
      </c>
      <c r="R2018" s="366" t="s">
        <v>3306</v>
      </c>
      <c r="S2018" s="366">
        <v>750250</v>
      </c>
    </row>
    <row r="2019" spans="1:19" ht="12.75" customHeight="1" collapsed="1">
      <c r="J2019" s="413">
        <f>SUM(J2018)</f>
        <v>4716815.87</v>
      </c>
    </row>
    <row r="2021" spans="1:19" ht="12.75" customHeight="1">
      <c r="A2021" s="378" t="s">
        <v>3308</v>
      </c>
      <c r="B2021" s="396"/>
      <c r="C2021" s="396"/>
      <c r="J2021" s="417"/>
      <c r="L2021" s="377"/>
      <c r="M2021" s="392"/>
    </row>
    <row r="2022" spans="1:19" ht="30" hidden="1" outlineLevel="1">
      <c r="B2022" s="384">
        <v>2025</v>
      </c>
      <c r="C2022" s="384">
        <v>11</v>
      </c>
      <c r="D2022" s="367" t="s">
        <v>5</v>
      </c>
      <c r="E2022" s="367" t="s">
        <v>6</v>
      </c>
      <c r="F2022" s="389" t="s">
        <v>3309</v>
      </c>
      <c r="G2022" s="385">
        <v>45778</v>
      </c>
      <c r="H2022" s="367" t="s">
        <v>14</v>
      </c>
      <c r="I2022" s="368" t="str">
        <f>VLOOKUP(H2022,'Source Codes'!A$2:B$115,2,FALSE)</f>
        <v>AP Warrant Issuance</v>
      </c>
      <c r="J2022" s="412">
        <v>-1401771.97</v>
      </c>
      <c r="K2022" s="385">
        <v>45776</v>
      </c>
      <c r="L2022" s="369" t="s">
        <v>3314</v>
      </c>
      <c r="M2022" s="390">
        <v>45776.793738425928</v>
      </c>
      <c r="N2022" s="368" t="s">
        <v>359</v>
      </c>
      <c r="O2022" s="368" t="s">
        <v>368</v>
      </c>
      <c r="P2022" s="399" t="str">
        <f>IF(J2022&gt;0,"Revenue",IF(J2022&lt;0,"Expense"))</f>
        <v>Expense</v>
      </c>
      <c r="Q2022" s="366" t="s">
        <v>2154</v>
      </c>
      <c r="R2022" s="393" t="s">
        <v>2154</v>
      </c>
      <c r="S2022" s="366" t="s">
        <v>303</v>
      </c>
    </row>
    <row r="2023" spans="1:19" ht="45" hidden="1" outlineLevel="1">
      <c r="B2023" s="384">
        <v>2025</v>
      </c>
      <c r="C2023" s="384">
        <v>10</v>
      </c>
      <c r="D2023" s="367" t="s">
        <v>5</v>
      </c>
      <c r="E2023" s="367" t="s">
        <v>6</v>
      </c>
      <c r="F2023" s="389" t="s">
        <v>3310</v>
      </c>
      <c r="G2023" s="385">
        <v>45771</v>
      </c>
      <c r="H2023" s="367" t="s">
        <v>12</v>
      </c>
      <c r="I2023" s="368" t="str">
        <f>VLOOKUP(H2023,'Source Codes'!A$2:B$115,2,FALSE)</f>
        <v>AR Direct Cash Journal</v>
      </c>
      <c r="J2023" s="412">
        <v>18808498.75</v>
      </c>
      <c r="K2023" s="385">
        <v>45776</v>
      </c>
      <c r="L2023" s="369" t="s">
        <v>3315</v>
      </c>
      <c r="M2023" s="390">
        <v>45776.752245370371</v>
      </c>
      <c r="N2023" s="368" t="s">
        <v>359</v>
      </c>
      <c r="O2023" s="368" t="s">
        <v>368</v>
      </c>
      <c r="P2023" s="368" t="s">
        <v>2290</v>
      </c>
      <c r="Q2023" s="366" t="s">
        <v>2177</v>
      </c>
      <c r="R2023" s="366" t="s">
        <v>2214</v>
      </c>
      <c r="S2023" s="366" t="s">
        <v>203</v>
      </c>
    </row>
    <row r="2024" spans="1:19" ht="30" hidden="1" outlineLevel="1">
      <c r="B2024" s="384">
        <v>2025</v>
      </c>
      <c r="C2024" s="384">
        <v>10</v>
      </c>
      <c r="D2024" s="367" t="s">
        <v>5</v>
      </c>
      <c r="E2024" s="367" t="s">
        <v>6</v>
      </c>
      <c r="F2024" s="389" t="s">
        <v>3311</v>
      </c>
      <c r="G2024" s="385">
        <v>45762</v>
      </c>
      <c r="H2024" s="367" t="s">
        <v>9</v>
      </c>
      <c r="I2024" s="368" t="str">
        <f>VLOOKUP(H2024,'Source Codes'!A$2:B$115,2,FALSE)</f>
        <v>On Line Journal Entries</v>
      </c>
      <c r="J2024" s="412">
        <v>8107362</v>
      </c>
      <c r="K2024" s="385">
        <v>45776</v>
      </c>
      <c r="L2024" s="369" t="s">
        <v>344</v>
      </c>
      <c r="M2024" s="390">
        <v>45776.870439814818</v>
      </c>
      <c r="N2024" s="368" t="s">
        <v>359</v>
      </c>
      <c r="O2024" s="368" t="s">
        <v>364</v>
      </c>
      <c r="P2024" s="368" t="s">
        <v>2290</v>
      </c>
      <c r="Q2024" s="366" t="s">
        <v>2232</v>
      </c>
      <c r="R2024" s="366" t="s">
        <v>2232</v>
      </c>
      <c r="S2024" s="366" t="s">
        <v>2533</v>
      </c>
    </row>
    <row r="2025" spans="1:19" ht="15" hidden="1" outlineLevel="1">
      <c r="B2025" s="384">
        <v>2025</v>
      </c>
      <c r="C2025" s="384">
        <v>10</v>
      </c>
      <c r="D2025" s="367" t="s">
        <v>5</v>
      </c>
      <c r="E2025" s="367" t="s">
        <v>6</v>
      </c>
      <c r="F2025" s="389" t="s">
        <v>3312</v>
      </c>
      <c r="G2025" s="385">
        <v>45775</v>
      </c>
      <c r="H2025" s="367" t="s">
        <v>13</v>
      </c>
      <c r="I2025" s="368" t="str">
        <f>VLOOKUP(H2025,'Source Codes'!A$2:B$115,2,FALSE)</f>
        <v>C-IV Voucher/Payments/EBT</v>
      </c>
      <c r="J2025" s="412">
        <v>-11715480.65</v>
      </c>
      <c r="K2025" s="385">
        <v>45776</v>
      </c>
      <c r="L2025" s="369" t="s">
        <v>3313</v>
      </c>
      <c r="M2025" s="390">
        <v>45776.870451388888</v>
      </c>
      <c r="N2025" s="368" t="s">
        <v>359</v>
      </c>
      <c r="O2025" s="368" t="s">
        <v>364</v>
      </c>
      <c r="P2025" s="368" t="s">
        <v>2613</v>
      </c>
      <c r="Q2025" s="366" t="s">
        <v>2204</v>
      </c>
      <c r="R2025" s="393">
        <v>45772</v>
      </c>
      <c r="S2025" s="366">
        <v>530480</v>
      </c>
    </row>
    <row r="2026" spans="1:19" ht="12.75" hidden="1" customHeight="1" outlineLevel="1">
      <c r="B2026" s="384"/>
      <c r="C2026" s="384"/>
      <c r="D2026" s="367"/>
      <c r="E2026" s="367"/>
      <c r="F2026" s="389"/>
      <c r="G2026" s="385"/>
      <c r="H2026" s="367"/>
      <c r="I2026" s="368"/>
      <c r="J2026" s="415">
        <f>SUM(J2022:J2025)</f>
        <v>13798608.130000001</v>
      </c>
      <c r="K2026" s="385"/>
      <c r="L2026" s="369"/>
      <c r="M2026" s="390"/>
      <c r="N2026" s="367"/>
      <c r="O2026" s="368"/>
      <c r="P2026" s="367"/>
      <c r="Q2026" s="366"/>
      <c r="R2026" s="366"/>
      <c r="S2026" s="366"/>
    </row>
    <row r="2027" spans="1:19" ht="12.75" customHeight="1" collapsed="1"/>
    <row r="2028" spans="1:19" ht="12.75" customHeight="1">
      <c r="A2028" s="378" t="s">
        <v>3316</v>
      </c>
    </row>
    <row r="2029" spans="1:19" ht="30" hidden="1" outlineLevel="1">
      <c r="B2029" s="384">
        <v>2025</v>
      </c>
      <c r="C2029" s="384">
        <v>10</v>
      </c>
      <c r="D2029" s="367" t="s">
        <v>5</v>
      </c>
      <c r="E2029" s="367" t="s">
        <v>6</v>
      </c>
      <c r="F2029" s="389" t="s">
        <v>3317</v>
      </c>
      <c r="G2029" s="385">
        <v>45775</v>
      </c>
      <c r="H2029" s="367" t="s">
        <v>11</v>
      </c>
      <c r="I2029" s="368" t="str">
        <f>VLOOKUP(H2029,'Source Codes'!A$2:B$115,2,FALSE)</f>
        <v>AR Payments</v>
      </c>
      <c r="J2029" s="412">
        <v>1736662.52</v>
      </c>
      <c r="K2029" s="385">
        <v>45777</v>
      </c>
      <c r="L2029" s="387" t="s">
        <v>3322</v>
      </c>
      <c r="M2029" s="390">
        <v>45777.851909722223</v>
      </c>
      <c r="N2029" s="367" t="s">
        <v>359</v>
      </c>
      <c r="O2029" s="368" t="s">
        <v>357</v>
      </c>
      <c r="P2029" s="368" t="str">
        <f>IF(J2029&gt;0,"Revenue",IF(J2029&lt;0,"Expense"))</f>
        <v>Revenue</v>
      </c>
      <c r="Q2029" s="366" t="s">
        <v>2157</v>
      </c>
      <c r="R2029" s="366" t="s">
        <v>2857</v>
      </c>
      <c r="S2029" s="366">
        <v>118501</v>
      </c>
    </row>
    <row r="2030" spans="1:19" ht="30" hidden="1" outlineLevel="1">
      <c r="B2030" s="384">
        <v>2025</v>
      </c>
      <c r="C2030" s="384">
        <v>10</v>
      </c>
      <c r="D2030" s="367" t="s">
        <v>5</v>
      </c>
      <c r="E2030" s="367" t="s">
        <v>6</v>
      </c>
      <c r="F2030" s="389" t="s">
        <v>3318</v>
      </c>
      <c r="G2030" s="385">
        <v>45777</v>
      </c>
      <c r="H2030" s="367" t="s">
        <v>11</v>
      </c>
      <c r="I2030" s="368" t="str">
        <f>VLOOKUP(H2030,'Source Codes'!A$2:B$115,2,FALSE)</f>
        <v>AR Payments</v>
      </c>
      <c r="J2030" s="412">
        <v>5313015.1100000003</v>
      </c>
      <c r="K2030" s="385">
        <v>45777</v>
      </c>
      <c r="L2030" s="369" t="s">
        <v>3323</v>
      </c>
      <c r="M2030" s="390">
        <v>45777.851909722223</v>
      </c>
      <c r="N2030" s="368" t="s">
        <v>359</v>
      </c>
      <c r="O2030" s="368" t="s">
        <v>362</v>
      </c>
      <c r="P2030" s="368" t="s">
        <v>2290</v>
      </c>
      <c r="Q2030" s="366" t="s">
        <v>2360</v>
      </c>
      <c r="R2030" s="366" t="s">
        <v>2715</v>
      </c>
      <c r="S2030" s="366" t="s">
        <v>3324</v>
      </c>
    </row>
    <row r="2031" spans="1:19" ht="30" hidden="1" outlineLevel="1">
      <c r="B2031" s="384">
        <v>2025</v>
      </c>
      <c r="C2031" s="384">
        <v>10</v>
      </c>
      <c r="D2031" s="367" t="s">
        <v>5</v>
      </c>
      <c r="E2031" s="367" t="s">
        <v>6</v>
      </c>
      <c r="F2031" s="389" t="s">
        <v>3319</v>
      </c>
      <c r="G2031" s="385">
        <v>45775</v>
      </c>
      <c r="H2031" s="367" t="s">
        <v>12</v>
      </c>
      <c r="I2031" s="368" t="str">
        <f>VLOOKUP(H2031,'Source Codes'!A$2:B$115,2,FALSE)</f>
        <v>AR Direct Cash Journal</v>
      </c>
      <c r="J2031" s="412">
        <v>7110341.3600000003</v>
      </c>
      <c r="K2031" s="385">
        <v>45777</v>
      </c>
      <c r="L2031" s="369" t="s">
        <v>3325</v>
      </c>
      <c r="M2031" s="390">
        <v>45777.851909722223</v>
      </c>
      <c r="N2031" s="368" t="s">
        <v>359</v>
      </c>
      <c r="O2031" s="368" t="s">
        <v>368</v>
      </c>
      <c r="P2031" s="368" t="s">
        <v>2290</v>
      </c>
      <c r="Q2031" s="366" t="s">
        <v>2177</v>
      </c>
      <c r="R2031" s="366" t="s">
        <v>2214</v>
      </c>
      <c r="S2031" s="366" t="s">
        <v>3326</v>
      </c>
    </row>
    <row r="2032" spans="1:19" ht="30" hidden="1" outlineLevel="1">
      <c r="B2032" s="384">
        <v>2025</v>
      </c>
      <c r="C2032" s="384">
        <v>10</v>
      </c>
      <c r="D2032" s="367" t="s">
        <v>5</v>
      </c>
      <c r="E2032" s="367" t="s">
        <v>6</v>
      </c>
      <c r="F2032" s="389" t="s">
        <v>3320</v>
      </c>
      <c r="G2032" s="385">
        <v>45771</v>
      </c>
      <c r="H2032" s="367" t="s">
        <v>9</v>
      </c>
      <c r="I2032" s="368" t="str">
        <f>VLOOKUP(H2032,'Source Codes'!A$2:B$115,2,FALSE)</f>
        <v>On Line Journal Entries</v>
      </c>
      <c r="J2032" s="412">
        <v>8792256.5</v>
      </c>
      <c r="K2032" s="385">
        <v>45777</v>
      </c>
      <c r="L2032" s="369" t="s">
        <v>344</v>
      </c>
      <c r="M2032" s="390">
        <v>45777.870173611111</v>
      </c>
      <c r="N2032" s="368" t="s">
        <v>359</v>
      </c>
      <c r="O2032" s="368" t="s">
        <v>364</v>
      </c>
      <c r="P2032" s="368" t="s">
        <v>2290</v>
      </c>
      <c r="Q2032" s="366" t="s">
        <v>2232</v>
      </c>
      <c r="R2032" s="366" t="s">
        <v>2232</v>
      </c>
      <c r="S2032" s="366" t="s">
        <v>2533</v>
      </c>
    </row>
    <row r="2033" spans="1:19" ht="30" hidden="1" outlineLevel="1">
      <c r="B2033" s="384">
        <v>2025</v>
      </c>
      <c r="C2033" s="384">
        <v>10</v>
      </c>
      <c r="D2033" s="367" t="s">
        <v>5</v>
      </c>
      <c r="E2033" s="367" t="s">
        <v>6</v>
      </c>
      <c r="F2033" s="389" t="s">
        <v>3321</v>
      </c>
      <c r="G2033" s="385">
        <v>45777</v>
      </c>
      <c r="H2033" s="367" t="s">
        <v>9</v>
      </c>
      <c r="I2033" s="368" t="str">
        <f>VLOOKUP(H2033,'Source Codes'!A$2:B$115,2,FALSE)</f>
        <v>On Line Journal Entries</v>
      </c>
      <c r="J2033" s="412">
        <v>1759434.31</v>
      </c>
      <c r="K2033" s="385">
        <v>45777</v>
      </c>
      <c r="L2033" s="369" t="s">
        <v>3328</v>
      </c>
      <c r="M2033" s="390">
        <v>45777.870173611111</v>
      </c>
      <c r="N2033" s="368" t="s">
        <v>2185</v>
      </c>
      <c r="O2033" s="368" t="s">
        <v>358</v>
      </c>
      <c r="P2033" s="368" t="s">
        <v>2290</v>
      </c>
      <c r="Q2033" s="366" t="s">
        <v>3327</v>
      </c>
      <c r="R2033" s="366" t="s">
        <v>3327</v>
      </c>
      <c r="S2033" s="366">
        <v>790600</v>
      </c>
    </row>
    <row r="2034" spans="1:19" ht="12.75" customHeight="1" collapsed="1">
      <c r="J2034" s="413">
        <f>SUM(J2029:J2033)</f>
        <v>24711709.800000001</v>
      </c>
    </row>
    <row r="2036" spans="1:19" ht="12.75" customHeight="1">
      <c r="A2036" s="378" t="s">
        <v>3329</v>
      </c>
    </row>
    <row r="2037" spans="1:19" ht="30" hidden="1" outlineLevel="1">
      <c r="B2037" s="384">
        <v>2025</v>
      </c>
      <c r="C2037" s="384">
        <v>11</v>
      </c>
      <c r="D2037" s="367" t="s">
        <v>5</v>
      </c>
      <c r="E2037" s="367" t="s">
        <v>6</v>
      </c>
      <c r="F2037" s="389" t="s">
        <v>3330</v>
      </c>
      <c r="G2037" s="385">
        <v>45778</v>
      </c>
      <c r="H2037" s="367" t="s">
        <v>14</v>
      </c>
      <c r="I2037" s="368" t="str">
        <f>VLOOKUP(H2037,'Source Codes'!A$2:B$115,2,FALSE)</f>
        <v>AP Warrant Issuance</v>
      </c>
      <c r="J2037" s="412">
        <v>-1602665.83</v>
      </c>
      <c r="K2037" s="385">
        <v>45778</v>
      </c>
      <c r="L2037" s="369" t="s">
        <v>3336</v>
      </c>
      <c r="M2037" s="390">
        <v>45778.793645833335</v>
      </c>
      <c r="N2037" s="368" t="s">
        <v>359</v>
      </c>
      <c r="O2037" s="368" t="s">
        <v>368</v>
      </c>
      <c r="P2037" s="399" t="str">
        <f>IF(J2037&gt;0,"Revenue",IF(J2037&lt;0,"Expense"))</f>
        <v>Expense</v>
      </c>
      <c r="Q2037" s="366" t="s">
        <v>2154</v>
      </c>
      <c r="R2037" s="393" t="s">
        <v>2154</v>
      </c>
      <c r="S2037" s="366" t="s">
        <v>303</v>
      </c>
    </row>
    <row r="2038" spans="1:19" ht="45" hidden="1" outlineLevel="1">
      <c r="B2038" s="384">
        <v>2025</v>
      </c>
      <c r="C2038" s="384">
        <v>11</v>
      </c>
      <c r="D2038" s="367" t="s">
        <v>5</v>
      </c>
      <c r="E2038" s="367" t="s">
        <v>6</v>
      </c>
      <c r="F2038" s="389" t="s">
        <v>3331</v>
      </c>
      <c r="G2038" s="385">
        <v>45782</v>
      </c>
      <c r="H2038" s="367" t="s">
        <v>14</v>
      </c>
      <c r="I2038" s="368" t="str">
        <f>VLOOKUP(H2038,'Source Codes'!A$2:B$115,2,FALSE)</f>
        <v>AP Warrant Issuance</v>
      </c>
      <c r="J2038" s="412">
        <v>-1593869.59</v>
      </c>
      <c r="K2038" s="385">
        <v>45778</v>
      </c>
      <c r="L2038" s="369" t="s">
        <v>3338</v>
      </c>
      <c r="M2038" s="390">
        <v>45778.793645833335</v>
      </c>
      <c r="N2038" s="368" t="s">
        <v>387</v>
      </c>
      <c r="O2038" s="368" t="s">
        <v>385</v>
      </c>
      <c r="P2038" s="399" t="str">
        <f>IF(J2038&gt;0,"Revenue",IF(J2038&lt;0,"Expense"))</f>
        <v>Expense</v>
      </c>
      <c r="Q2038" s="366" t="s">
        <v>3337</v>
      </c>
      <c r="R2038" s="366" t="s">
        <v>3337</v>
      </c>
      <c r="S2038" s="366" t="s">
        <v>303</v>
      </c>
    </row>
    <row r="2039" spans="1:19" ht="30" hidden="1" outlineLevel="1">
      <c r="B2039" s="384">
        <v>2025</v>
      </c>
      <c r="C2039" s="384">
        <v>11</v>
      </c>
      <c r="D2039" s="367" t="s">
        <v>5</v>
      </c>
      <c r="E2039" s="367" t="s">
        <v>6</v>
      </c>
      <c r="F2039" s="389" t="s">
        <v>3332</v>
      </c>
      <c r="G2039" s="385">
        <v>45782</v>
      </c>
      <c r="H2039" s="367" t="s">
        <v>14</v>
      </c>
      <c r="I2039" s="368" t="str">
        <f>VLOOKUP(H2039,'Source Codes'!A$2:B$115,2,FALSE)</f>
        <v>AP Warrant Issuance</v>
      </c>
      <c r="J2039" s="412">
        <v>-1257335.79</v>
      </c>
      <c r="K2039" s="385">
        <v>45778</v>
      </c>
      <c r="L2039" s="369" t="s">
        <v>3339</v>
      </c>
      <c r="M2039" s="390">
        <v>45778.793645833335</v>
      </c>
      <c r="N2039" s="368" t="s">
        <v>359</v>
      </c>
      <c r="O2039" s="368" t="s">
        <v>368</v>
      </c>
      <c r="P2039" s="399" t="str">
        <f>IF(J2039&gt;0,"Revenue",IF(J2039&lt;0,"Expense"))</f>
        <v>Expense</v>
      </c>
      <c r="Q2039" s="366" t="s">
        <v>2154</v>
      </c>
      <c r="R2039" s="393" t="s">
        <v>2154</v>
      </c>
      <c r="S2039" s="366" t="s">
        <v>303</v>
      </c>
    </row>
    <row r="2040" spans="1:19" ht="30" hidden="1" outlineLevel="1">
      <c r="B2040" s="384">
        <v>2025</v>
      </c>
      <c r="C2040" s="384">
        <v>11</v>
      </c>
      <c r="D2040" s="367" t="s">
        <v>5</v>
      </c>
      <c r="E2040" s="367" t="s">
        <v>6</v>
      </c>
      <c r="F2040" s="389" t="s">
        <v>3333</v>
      </c>
      <c r="G2040" s="385">
        <v>45778</v>
      </c>
      <c r="H2040" s="367" t="s">
        <v>11</v>
      </c>
      <c r="I2040" s="368" t="str">
        <f>VLOOKUP(H2040,'Source Codes'!A$2:B$115,2,FALSE)</f>
        <v>AR Payments</v>
      </c>
      <c r="J2040" s="412">
        <v>1930851</v>
      </c>
      <c r="K2040" s="385">
        <v>45778</v>
      </c>
      <c r="L2040" s="387" t="s">
        <v>3340</v>
      </c>
      <c r="M2040" s="390">
        <v>45778.75236111111</v>
      </c>
      <c r="N2040" s="368" t="s">
        <v>359</v>
      </c>
      <c r="O2040" s="368" t="s">
        <v>362</v>
      </c>
      <c r="P2040" s="367" t="s">
        <v>2290</v>
      </c>
      <c r="Q2040" s="366" t="s">
        <v>2360</v>
      </c>
      <c r="R2040" s="366" t="s">
        <v>2715</v>
      </c>
      <c r="S2040" s="395">
        <v>118401</v>
      </c>
    </row>
    <row r="2041" spans="1:19" ht="15" hidden="1" outlineLevel="1">
      <c r="B2041" s="384">
        <v>2025</v>
      </c>
      <c r="C2041" s="384">
        <v>10</v>
      </c>
      <c r="D2041" s="367" t="s">
        <v>5</v>
      </c>
      <c r="E2041" s="367" t="s">
        <v>6</v>
      </c>
      <c r="F2041" s="389" t="s">
        <v>3334</v>
      </c>
      <c r="G2041" s="385">
        <v>45777</v>
      </c>
      <c r="H2041" s="367" t="s">
        <v>12</v>
      </c>
      <c r="I2041" s="368" t="str">
        <f>VLOOKUP(H2041,'Source Codes'!A$2:B$115,2,FALSE)</f>
        <v>AR Direct Cash Journal</v>
      </c>
      <c r="J2041" s="412">
        <v>28193386.02</v>
      </c>
      <c r="K2041" s="385">
        <v>45778</v>
      </c>
      <c r="L2041" s="369" t="s">
        <v>3341</v>
      </c>
      <c r="M2041" s="390">
        <v>45778.75236111111</v>
      </c>
      <c r="N2041" s="368" t="s">
        <v>359</v>
      </c>
      <c r="O2041" s="368" t="s">
        <v>368</v>
      </c>
      <c r="P2041" s="368" t="s">
        <v>2290</v>
      </c>
      <c r="Q2041" s="366" t="s">
        <v>2177</v>
      </c>
      <c r="R2041" s="366" t="s">
        <v>3123</v>
      </c>
      <c r="S2041" s="366" t="s">
        <v>3360</v>
      </c>
    </row>
    <row r="2042" spans="1:19" ht="15" hidden="1" outlineLevel="1">
      <c r="B2042" s="384">
        <v>2025</v>
      </c>
      <c r="C2042" s="384">
        <v>10</v>
      </c>
      <c r="D2042" s="367" t="s">
        <v>5</v>
      </c>
      <c r="E2042" s="367" t="s">
        <v>6</v>
      </c>
      <c r="F2042" s="389" t="s">
        <v>3335</v>
      </c>
      <c r="G2042" s="385">
        <v>45777</v>
      </c>
      <c r="H2042" s="367" t="s">
        <v>7</v>
      </c>
      <c r="I2042" s="368" t="str">
        <f>VLOOKUP(H2042,'Source Codes'!A$2:B$115,2,FALSE)</f>
        <v>HRMS Interface Journals</v>
      </c>
      <c r="J2042" s="412">
        <v>-13800237.07</v>
      </c>
      <c r="K2042" s="385">
        <v>45778</v>
      </c>
      <c r="L2042" s="369" t="s">
        <v>407</v>
      </c>
      <c r="M2042" s="390">
        <v>45778.695057870369</v>
      </c>
      <c r="N2042" s="368" t="s">
        <v>378</v>
      </c>
      <c r="O2042" s="368" t="s">
        <v>379</v>
      </c>
      <c r="P2042" s="368" t="s">
        <v>2613</v>
      </c>
      <c r="Q2042" s="366" t="s">
        <v>379</v>
      </c>
      <c r="R2042" s="366" t="s">
        <v>3272</v>
      </c>
      <c r="S2042" s="366" t="s">
        <v>203</v>
      </c>
    </row>
    <row r="2043" spans="1:19" ht="12.75" hidden="1" customHeight="1" outlineLevel="1">
      <c r="B2043" s="384"/>
      <c r="C2043" s="384"/>
      <c r="D2043" s="367"/>
      <c r="E2043" s="367"/>
      <c r="F2043" s="389"/>
      <c r="G2043" s="385"/>
      <c r="H2043" s="367"/>
      <c r="I2043" s="368"/>
      <c r="J2043" s="415">
        <f>SUM(J2037:J2042)</f>
        <v>11870128.739999998</v>
      </c>
      <c r="K2043" s="385"/>
      <c r="L2043" s="369"/>
      <c r="M2043" s="390"/>
      <c r="N2043" s="368"/>
      <c r="O2043" s="368"/>
      <c r="P2043" s="368"/>
      <c r="Q2043" s="366"/>
      <c r="R2043" s="366"/>
      <c r="S2043" s="366"/>
    </row>
    <row r="2044" spans="1:19" ht="12.75" customHeight="1" collapsed="1"/>
    <row r="2045" spans="1:19" ht="12.75" customHeight="1">
      <c r="A2045" s="378" t="s">
        <v>3342</v>
      </c>
    </row>
    <row r="2046" spans="1:19" ht="30" hidden="1" outlineLevel="1">
      <c r="A2046" s="378"/>
      <c r="B2046" s="384">
        <v>2025</v>
      </c>
      <c r="C2046" s="384">
        <v>11</v>
      </c>
      <c r="D2046" s="367" t="s">
        <v>5</v>
      </c>
      <c r="E2046" s="367" t="s">
        <v>6</v>
      </c>
      <c r="F2046" s="389" t="s">
        <v>3343</v>
      </c>
      <c r="G2046" s="385">
        <v>45778</v>
      </c>
      <c r="H2046" s="367" t="s">
        <v>11</v>
      </c>
      <c r="I2046" s="368" t="str">
        <f>VLOOKUP(H2046,'Source Codes'!A$2:B$115,2,FALSE)</f>
        <v>AR Payments</v>
      </c>
      <c r="J2046" s="412">
        <v>4246858.29</v>
      </c>
      <c r="K2046" s="385">
        <v>45779</v>
      </c>
      <c r="L2046" s="369" t="s">
        <v>3359</v>
      </c>
      <c r="M2046" s="390">
        <v>45779.751967592594</v>
      </c>
      <c r="N2046" s="368" t="s">
        <v>359</v>
      </c>
      <c r="O2046" s="368" t="s">
        <v>357</v>
      </c>
      <c r="P2046" s="399" t="str">
        <f t="shared" ref="P2046:P2051" si="23">IF(J2046&gt;0,"Revenue",IF(J2046&lt;0,"Expense"))</f>
        <v>Revenue</v>
      </c>
      <c r="Q2046" s="366" t="s">
        <v>2157</v>
      </c>
      <c r="R2046" s="393" t="s">
        <v>2857</v>
      </c>
      <c r="S2046" s="366">
        <v>118501</v>
      </c>
    </row>
    <row r="2047" spans="1:19" ht="30" hidden="1" outlineLevel="1">
      <c r="B2047" s="384">
        <v>2025</v>
      </c>
      <c r="C2047" s="384">
        <v>10</v>
      </c>
      <c r="D2047" s="367" t="s">
        <v>5</v>
      </c>
      <c r="E2047" s="367" t="s">
        <v>6</v>
      </c>
      <c r="F2047" s="389" t="s">
        <v>3344</v>
      </c>
      <c r="G2047" s="385">
        <v>45776</v>
      </c>
      <c r="H2047" s="367" t="s">
        <v>9</v>
      </c>
      <c r="I2047" s="368" t="str">
        <f>VLOOKUP(H2047,'Source Codes'!A$2:B$115,2,FALSE)</f>
        <v>On Line Journal Entries</v>
      </c>
      <c r="J2047" s="412">
        <v>20000855.25</v>
      </c>
      <c r="K2047" s="385">
        <v>45779</v>
      </c>
      <c r="L2047" s="369" t="s">
        <v>3348</v>
      </c>
      <c r="M2047" s="390">
        <v>45779.870405092595</v>
      </c>
      <c r="N2047" s="368" t="s">
        <v>359</v>
      </c>
      <c r="O2047" s="368" t="s">
        <v>371</v>
      </c>
      <c r="P2047" s="399" t="str">
        <f t="shared" si="23"/>
        <v>Revenue</v>
      </c>
      <c r="Q2047" s="366" t="s">
        <v>2158</v>
      </c>
      <c r="R2047" s="393" t="s">
        <v>3354</v>
      </c>
      <c r="S2047" s="366">
        <v>755120</v>
      </c>
    </row>
    <row r="2048" spans="1:19" ht="45" hidden="1" outlineLevel="1">
      <c r="B2048" s="384">
        <v>2025</v>
      </c>
      <c r="C2048" s="384">
        <v>10</v>
      </c>
      <c r="D2048" s="367" t="s">
        <v>5</v>
      </c>
      <c r="E2048" s="367" t="s">
        <v>6</v>
      </c>
      <c r="F2048" s="389" t="s">
        <v>3345</v>
      </c>
      <c r="G2048" s="385">
        <v>45776</v>
      </c>
      <c r="H2048" s="367" t="s">
        <v>9</v>
      </c>
      <c r="I2048" s="368" t="str">
        <f>VLOOKUP(H2048,'Source Codes'!A$2:B$115,2,FALSE)</f>
        <v>On Line Journal Entries</v>
      </c>
      <c r="J2048" s="412">
        <v>9725418.2799999993</v>
      </c>
      <c r="K2048" s="385">
        <v>45779</v>
      </c>
      <c r="L2048" s="369" t="s">
        <v>3349</v>
      </c>
      <c r="M2048" s="390">
        <v>45779.870405092595</v>
      </c>
      <c r="N2048" s="368" t="s">
        <v>359</v>
      </c>
      <c r="O2048" s="368" t="s">
        <v>371</v>
      </c>
      <c r="P2048" s="399" t="str">
        <f t="shared" si="23"/>
        <v>Revenue</v>
      </c>
      <c r="Q2048" s="366" t="s">
        <v>2427</v>
      </c>
      <c r="R2048" s="393" t="s">
        <v>3355</v>
      </c>
      <c r="S2048" s="366" t="s">
        <v>2160</v>
      </c>
    </row>
    <row r="2049" spans="1:21" ht="60" hidden="1" outlineLevel="1">
      <c r="B2049" s="384">
        <v>2025</v>
      </c>
      <c r="C2049" s="384">
        <v>10</v>
      </c>
      <c r="D2049" s="367" t="s">
        <v>5</v>
      </c>
      <c r="E2049" s="367" t="s">
        <v>6</v>
      </c>
      <c r="F2049" s="389" t="s">
        <v>3346</v>
      </c>
      <c r="G2049" s="385">
        <v>45776</v>
      </c>
      <c r="H2049" s="367" t="s">
        <v>9</v>
      </c>
      <c r="I2049" s="368" t="str">
        <f>VLOOKUP(H2049,'Source Codes'!A$2:B$115,2,FALSE)</f>
        <v>On Line Journal Entries</v>
      </c>
      <c r="J2049" s="412">
        <v>3348859.09</v>
      </c>
      <c r="K2049" s="385">
        <v>45779</v>
      </c>
      <c r="L2049" s="369" t="s">
        <v>3350</v>
      </c>
      <c r="M2049" s="390">
        <v>45779.870405092595</v>
      </c>
      <c r="N2049" s="368" t="s">
        <v>359</v>
      </c>
      <c r="O2049" s="368" t="s">
        <v>371</v>
      </c>
      <c r="P2049" s="399" t="str">
        <f t="shared" si="23"/>
        <v>Revenue</v>
      </c>
      <c r="Q2049" s="366" t="s">
        <v>2163</v>
      </c>
      <c r="R2049" s="393" t="s">
        <v>3356</v>
      </c>
      <c r="S2049" s="366">
        <v>750900</v>
      </c>
    </row>
    <row r="2050" spans="1:21" ht="15" hidden="1" outlineLevel="1">
      <c r="B2050" s="384">
        <v>2025</v>
      </c>
      <c r="C2050" s="384">
        <v>10</v>
      </c>
      <c r="D2050" s="367" t="s">
        <v>5</v>
      </c>
      <c r="E2050" s="367" t="s">
        <v>6</v>
      </c>
      <c r="F2050" s="389" t="s">
        <v>3347</v>
      </c>
      <c r="G2050" s="385">
        <v>45776</v>
      </c>
      <c r="H2050" s="367" t="s">
        <v>9</v>
      </c>
      <c r="I2050" s="368" t="str">
        <f>VLOOKUP(H2050,'Source Codes'!A$2:B$115,2,FALSE)</f>
        <v>On Line Journal Entries</v>
      </c>
      <c r="J2050" s="412">
        <v>1381438.61</v>
      </c>
      <c r="K2050" s="385">
        <v>45779</v>
      </c>
      <c r="L2050" s="369" t="s">
        <v>3351</v>
      </c>
      <c r="M2050" s="390">
        <v>45779.870405092595</v>
      </c>
      <c r="N2050" s="368" t="s">
        <v>359</v>
      </c>
      <c r="O2050" s="368" t="s">
        <v>371</v>
      </c>
      <c r="P2050" s="399" t="str">
        <f t="shared" si="23"/>
        <v>Revenue</v>
      </c>
      <c r="Q2050" s="366" t="s">
        <v>2164</v>
      </c>
      <c r="R2050" s="393" t="s">
        <v>3357</v>
      </c>
      <c r="S2050" s="366">
        <v>755909</v>
      </c>
    </row>
    <row r="2051" spans="1:21" ht="30" hidden="1" outlineLevel="1">
      <c r="B2051" s="384">
        <v>2025</v>
      </c>
      <c r="C2051" s="384">
        <v>10</v>
      </c>
      <c r="D2051" s="367" t="s">
        <v>5</v>
      </c>
      <c r="E2051" s="367" t="s">
        <v>6</v>
      </c>
      <c r="F2051" s="389" t="s">
        <v>3352</v>
      </c>
      <c r="G2051" s="385">
        <v>45776</v>
      </c>
      <c r="H2051" s="367" t="s">
        <v>9</v>
      </c>
      <c r="I2051" s="368" t="str">
        <f>VLOOKUP(H2051,'Source Codes'!A$2:B$115,2,FALSE)</f>
        <v>On Line Journal Entries</v>
      </c>
      <c r="J2051" s="412">
        <v>-3461332.86</v>
      </c>
      <c r="K2051" s="385">
        <v>45779</v>
      </c>
      <c r="L2051" s="369" t="s">
        <v>3353</v>
      </c>
      <c r="M2051" s="390">
        <v>45779.870405092595</v>
      </c>
      <c r="N2051" s="368" t="s">
        <v>359</v>
      </c>
      <c r="O2051" s="368" t="s">
        <v>371</v>
      </c>
      <c r="P2051" s="399" t="str">
        <f t="shared" si="23"/>
        <v>Expense</v>
      </c>
      <c r="Q2051" s="366" t="s">
        <v>2429</v>
      </c>
      <c r="R2051" s="393" t="s">
        <v>3358</v>
      </c>
      <c r="S2051" s="366" t="s">
        <v>2166</v>
      </c>
    </row>
    <row r="2052" spans="1:21" ht="12.75" customHeight="1" collapsed="1">
      <c r="G2052" s="377"/>
      <c r="J2052" s="413">
        <f>SUM(J2046:J2051)</f>
        <v>35242096.659999996</v>
      </c>
      <c r="K2052" s="377"/>
      <c r="L2052" s="377"/>
      <c r="P2052" s="377"/>
      <c r="Q2052" s="377"/>
      <c r="R2052" s="377"/>
      <c r="S2052" s="377"/>
    </row>
    <row r="2054" spans="1:21" ht="12.75" customHeight="1">
      <c r="A2054" s="378" t="s">
        <v>3361</v>
      </c>
    </row>
    <row r="2055" spans="1:21" ht="30" hidden="1" outlineLevel="1">
      <c r="B2055" s="384">
        <v>2025</v>
      </c>
      <c r="C2055" s="384">
        <v>11</v>
      </c>
      <c r="D2055" s="367" t="s">
        <v>5</v>
      </c>
      <c r="E2055" s="367" t="s">
        <v>6</v>
      </c>
      <c r="F2055" s="389" t="s">
        <v>3362</v>
      </c>
      <c r="G2055" s="385">
        <v>45779</v>
      </c>
      <c r="H2055" s="367" t="s">
        <v>11</v>
      </c>
      <c r="I2055" s="368" t="str">
        <f>VLOOKUP(H2055,'Source Codes'!A$2:B$115,2,FALSE)</f>
        <v>AR Payments</v>
      </c>
      <c r="J2055" s="412">
        <v>2372363.83</v>
      </c>
      <c r="K2055" s="385">
        <v>45782</v>
      </c>
      <c r="L2055" s="369" t="s">
        <v>3371</v>
      </c>
      <c r="M2055" s="390">
        <v>45782.752060185187</v>
      </c>
      <c r="N2055" s="368" t="s">
        <v>359</v>
      </c>
      <c r="O2055" s="368" t="s">
        <v>357</v>
      </c>
      <c r="P2055" s="399" t="str">
        <f t="shared" ref="P2055:P2062" si="24">IF(J2055&gt;0,"Revenue",IF(J2055&lt;0,"Expense"))</f>
        <v>Revenue</v>
      </c>
      <c r="Q2055" s="366" t="s">
        <v>2157</v>
      </c>
      <c r="R2055" s="366" t="s">
        <v>2857</v>
      </c>
      <c r="S2055" s="395">
        <v>118501</v>
      </c>
    </row>
    <row r="2056" spans="1:21" ht="30" hidden="1" outlineLevel="1">
      <c r="B2056" s="400">
        <v>2025</v>
      </c>
      <c r="C2056" s="400">
        <v>10</v>
      </c>
      <c r="D2056" s="401" t="s">
        <v>5</v>
      </c>
      <c r="E2056" s="401" t="s">
        <v>6</v>
      </c>
      <c r="F2056" s="402" t="s">
        <v>3363</v>
      </c>
      <c r="G2056" s="403">
        <v>45771</v>
      </c>
      <c r="H2056" s="401" t="s">
        <v>9</v>
      </c>
      <c r="I2056" s="368" t="str">
        <f>VLOOKUP(H2056,'Source Codes'!A$2:B$115,2,FALSE)</f>
        <v>On Line Journal Entries</v>
      </c>
      <c r="J2056" s="418">
        <v>26648418</v>
      </c>
      <c r="K2056" s="403">
        <v>45782</v>
      </c>
      <c r="L2056" s="404" t="s">
        <v>344</v>
      </c>
      <c r="M2056" s="405">
        <v>45782.870312500003</v>
      </c>
      <c r="N2056" s="368" t="s">
        <v>359</v>
      </c>
      <c r="O2056" s="368" t="s">
        <v>364</v>
      </c>
      <c r="P2056" s="399" t="str">
        <f t="shared" si="24"/>
        <v>Revenue</v>
      </c>
      <c r="Q2056" s="366" t="s">
        <v>2232</v>
      </c>
      <c r="R2056" s="366" t="s">
        <v>2232</v>
      </c>
      <c r="S2056" s="366" t="s">
        <v>2533</v>
      </c>
      <c r="T2056" s="406"/>
      <c r="U2056" s="366"/>
    </row>
    <row r="2057" spans="1:21" ht="30" hidden="1" outlineLevel="1">
      <c r="B2057" s="400">
        <v>2025</v>
      </c>
      <c r="C2057" s="400">
        <v>10</v>
      </c>
      <c r="D2057" s="401" t="s">
        <v>5</v>
      </c>
      <c r="E2057" s="401" t="s">
        <v>6</v>
      </c>
      <c r="F2057" s="402" t="s">
        <v>3364</v>
      </c>
      <c r="G2057" s="403">
        <v>45770</v>
      </c>
      <c r="H2057" s="401" t="s">
        <v>9</v>
      </c>
      <c r="I2057" s="368" t="str">
        <f>VLOOKUP(H2057,'Source Codes'!A$2:B$115,2,FALSE)</f>
        <v>On Line Journal Entries</v>
      </c>
      <c r="J2057" s="418">
        <v>13938203</v>
      </c>
      <c r="K2057" s="403">
        <v>45782</v>
      </c>
      <c r="L2057" s="404" t="s">
        <v>344</v>
      </c>
      <c r="M2057" s="405">
        <v>45782.870312500003</v>
      </c>
      <c r="N2057" s="368" t="s">
        <v>359</v>
      </c>
      <c r="O2057" s="368" t="s">
        <v>364</v>
      </c>
      <c r="P2057" s="399" t="str">
        <f t="shared" si="24"/>
        <v>Revenue</v>
      </c>
      <c r="Q2057" s="366" t="s">
        <v>2232</v>
      </c>
      <c r="R2057" s="366" t="s">
        <v>2232</v>
      </c>
      <c r="S2057" s="366" t="s">
        <v>2533</v>
      </c>
      <c r="T2057" s="407"/>
      <c r="U2057" s="366"/>
    </row>
    <row r="2058" spans="1:21" ht="30" hidden="1" outlineLevel="1">
      <c r="B2058" s="400">
        <v>2025</v>
      </c>
      <c r="C2058" s="400">
        <v>10</v>
      </c>
      <c r="D2058" s="401" t="s">
        <v>5</v>
      </c>
      <c r="E2058" s="401" t="s">
        <v>6</v>
      </c>
      <c r="F2058" s="402" t="s">
        <v>3365</v>
      </c>
      <c r="G2058" s="403">
        <v>45762</v>
      </c>
      <c r="H2058" s="401" t="s">
        <v>9</v>
      </c>
      <c r="I2058" s="368" t="str">
        <f>VLOOKUP(H2058,'Source Codes'!A$2:B$115,2,FALSE)</f>
        <v>On Line Journal Entries</v>
      </c>
      <c r="J2058" s="418">
        <v>12251766.24</v>
      </c>
      <c r="K2058" s="403">
        <v>45782</v>
      </c>
      <c r="L2058" s="404" t="s">
        <v>344</v>
      </c>
      <c r="M2058" s="405">
        <v>45782.870312500003</v>
      </c>
      <c r="N2058" s="368" t="s">
        <v>359</v>
      </c>
      <c r="O2058" s="368" t="s">
        <v>364</v>
      </c>
      <c r="P2058" s="399" t="str">
        <f t="shared" si="24"/>
        <v>Revenue</v>
      </c>
      <c r="Q2058" s="366" t="s">
        <v>2232</v>
      </c>
      <c r="R2058" s="366" t="s">
        <v>2232</v>
      </c>
      <c r="S2058" s="366" t="s">
        <v>2533</v>
      </c>
      <c r="T2058" s="407"/>
    </row>
    <row r="2059" spans="1:21" ht="45" hidden="1" outlineLevel="1">
      <c r="B2059" s="400">
        <v>2025</v>
      </c>
      <c r="C2059" s="400">
        <v>10</v>
      </c>
      <c r="D2059" s="401" t="s">
        <v>5</v>
      </c>
      <c r="E2059" s="401" t="s">
        <v>6</v>
      </c>
      <c r="F2059" s="402" t="s">
        <v>3366</v>
      </c>
      <c r="G2059" s="403">
        <v>45771</v>
      </c>
      <c r="H2059" s="401" t="s">
        <v>9</v>
      </c>
      <c r="I2059" s="368" t="str">
        <f>VLOOKUP(H2059,'Source Codes'!A$2:B$115,2,FALSE)</f>
        <v>On Line Journal Entries</v>
      </c>
      <c r="J2059" s="418">
        <v>1301955.56</v>
      </c>
      <c r="K2059" s="403">
        <v>45782</v>
      </c>
      <c r="L2059" s="404" t="s">
        <v>3372</v>
      </c>
      <c r="M2059" s="405">
        <v>45782.870312500003</v>
      </c>
      <c r="N2059" s="368" t="s">
        <v>387</v>
      </c>
      <c r="O2059" s="368" t="s">
        <v>363</v>
      </c>
      <c r="P2059" s="399" t="str">
        <f t="shared" si="24"/>
        <v>Revenue</v>
      </c>
      <c r="Q2059" s="366" t="s">
        <v>3374</v>
      </c>
      <c r="R2059" s="366" t="s">
        <v>3375</v>
      </c>
      <c r="S2059" s="408">
        <v>778330</v>
      </c>
      <c r="T2059" s="407"/>
    </row>
    <row r="2060" spans="1:21" ht="15" hidden="1" outlineLevel="1">
      <c r="B2060" s="400">
        <v>2025</v>
      </c>
      <c r="C2060" s="400">
        <v>10</v>
      </c>
      <c r="D2060" s="401" t="s">
        <v>5</v>
      </c>
      <c r="E2060" s="401" t="s">
        <v>6</v>
      </c>
      <c r="F2060" s="402" t="s">
        <v>3367</v>
      </c>
      <c r="G2060" s="403">
        <v>45777</v>
      </c>
      <c r="H2060" s="401" t="s">
        <v>7</v>
      </c>
      <c r="I2060" s="368" t="str">
        <f>VLOOKUP(H2060,'Source Codes'!A$2:B$115,2,FALSE)</f>
        <v>HRMS Interface Journals</v>
      </c>
      <c r="J2060" s="418">
        <v>-2570010.54</v>
      </c>
      <c r="K2060" s="403">
        <v>45782</v>
      </c>
      <c r="L2060" s="404" t="s">
        <v>409</v>
      </c>
      <c r="M2060" s="405">
        <v>45782.351597222223</v>
      </c>
      <c r="N2060" s="368" t="s">
        <v>378</v>
      </c>
      <c r="O2060" s="368" t="s">
        <v>379</v>
      </c>
      <c r="P2060" s="399" t="str">
        <f t="shared" si="24"/>
        <v>Expense</v>
      </c>
      <c r="Q2060" s="366" t="s">
        <v>379</v>
      </c>
      <c r="R2060" s="366" t="s">
        <v>3272</v>
      </c>
      <c r="S2060" s="366">
        <v>513120</v>
      </c>
      <c r="T2060" s="407"/>
    </row>
    <row r="2061" spans="1:21" ht="45" hidden="1" outlineLevel="1">
      <c r="B2061" s="400">
        <v>2025</v>
      </c>
      <c r="C2061" s="400">
        <v>10</v>
      </c>
      <c r="D2061" s="401" t="s">
        <v>5</v>
      </c>
      <c r="E2061" s="401" t="s">
        <v>6</v>
      </c>
      <c r="F2061" s="402" t="s">
        <v>3368</v>
      </c>
      <c r="G2061" s="403">
        <v>45763</v>
      </c>
      <c r="H2061" s="401" t="s">
        <v>9</v>
      </c>
      <c r="I2061" s="368" t="str">
        <f>VLOOKUP(H2061,'Source Codes'!A$2:B$115,2,FALSE)</f>
        <v>On Line Journal Entries</v>
      </c>
      <c r="J2061" s="418">
        <v>-6660875</v>
      </c>
      <c r="K2061" s="403">
        <v>45782</v>
      </c>
      <c r="L2061" s="404" t="s">
        <v>3370</v>
      </c>
      <c r="M2061" s="405">
        <v>45782.870312500003</v>
      </c>
      <c r="N2061" s="368" t="s">
        <v>359</v>
      </c>
      <c r="O2061" s="368" t="s">
        <v>368</v>
      </c>
      <c r="P2061" s="399" t="str">
        <f t="shared" si="24"/>
        <v>Expense</v>
      </c>
      <c r="Q2061" s="366" t="s">
        <v>2270</v>
      </c>
      <c r="R2061" s="366" t="s">
        <v>3373</v>
      </c>
      <c r="S2061" s="366">
        <v>530280</v>
      </c>
      <c r="T2061" s="407"/>
    </row>
    <row r="2062" spans="1:21" ht="15" hidden="1" outlineLevel="1">
      <c r="B2062" s="400">
        <v>2025</v>
      </c>
      <c r="C2062" s="400">
        <v>10</v>
      </c>
      <c r="D2062" s="401" t="s">
        <v>5</v>
      </c>
      <c r="E2062" s="401" t="s">
        <v>6</v>
      </c>
      <c r="F2062" s="402" t="s">
        <v>3369</v>
      </c>
      <c r="G2062" s="403">
        <v>45777</v>
      </c>
      <c r="H2062" s="401" t="s">
        <v>7</v>
      </c>
      <c r="I2062" s="368" t="str">
        <f>VLOOKUP(H2062,'Source Codes'!A$2:B$115,2,FALSE)</f>
        <v>HRMS Interface Journals</v>
      </c>
      <c r="J2062" s="418">
        <v>-62366083.969999999</v>
      </c>
      <c r="K2062" s="403">
        <v>45782</v>
      </c>
      <c r="L2062" s="404" t="s">
        <v>406</v>
      </c>
      <c r="M2062" s="405">
        <v>45782.347557870373</v>
      </c>
      <c r="N2062" s="368" t="s">
        <v>378</v>
      </c>
      <c r="O2062" s="368" t="s">
        <v>371</v>
      </c>
      <c r="P2062" s="399" t="str">
        <f t="shared" si="24"/>
        <v>Expense</v>
      </c>
      <c r="Q2062" s="366" t="s">
        <v>379</v>
      </c>
      <c r="R2062" s="366" t="s">
        <v>3272</v>
      </c>
      <c r="S2062" s="366" t="s">
        <v>203</v>
      </c>
      <c r="T2062" s="407"/>
    </row>
    <row r="2063" spans="1:21" ht="12.75" customHeight="1" collapsed="1">
      <c r="J2063" s="413">
        <f>SUM(J2055:J2062)</f>
        <v>-15084262.879999995</v>
      </c>
    </row>
    <row r="2065" spans="1:19" ht="12.75" customHeight="1">
      <c r="A2065" s="378" t="s">
        <v>3376</v>
      </c>
    </row>
    <row r="2066" spans="1:19" ht="30" hidden="1" outlineLevel="1">
      <c r="B2066" s="400">
        <v>2025</v>
      </c>
      <c r="C2066" s="400">
        <v>11</v>
      </c>
      <c r="D2066" s="401" t="s">
        <v>5</v>
      </c>
      <c r="E2066" s="401" t="s">
        <v>6</v>
      </c>
      <c r="F2066" s="402" t="s">
        <v>3377</v>
      </c>
      <c r="G2066" s="403">
        <v>45785</v>
      </c>
      <c r="H2066" s="401" t="s">
        <v>14</v>
      </c>
      <c r="I2066" s="368" t="str">
        <f>VLOOKUP(H2066,'Source Codes'!A$2:B$115,2,FALSE)</f>
        <v>AP Warrant Issuance</v>
      </c>
      <c r="J2066" s="418">
        <v>-1365318.49</v>
      </c>
      <c r="K2066" s="403">
        <v>45783</v>
      </c>
      <c r="L2066" s="369" t="s">
        <v>3383</v>
      </c>
      <c r="M2066" s="405">
        <v>45783.793703703705</v>
      </c>
      <c r="N2066" s="368" t="s">
        <v>359</v>
      </c>
      <c r="O2066" s="368" t="s">
        <v>368</v>
      </c>
      <c r="P2066" s="399" t="str">
        <f>IF(J2066&gt;0,"Revenue",IF(J2066&lt;0,"Expense"))</f>
        <v>Expense</v>
      </c>
      <c r="Q2066" s="366" t="s">
        <v>2154</v>
      </c>
      <c r="R2066" s="393" t="s">
        <v>2154</v>
      </c>
      <c r="S2066" s="366" t="s">
        <v>303</v>
      </c>
    </row>
    <row r="2067" spans="1:19" ht="45" hidden="1" outlineLevel="1">
      <c r="B2067" s="400">
        <v>2025</v>
      </c>
      <c r="C2067" s="400">
        <v>11</v>
      </c>
      <c r="D2067" s="401" t="s">
        <v>5</v>
      </c>
      <c r="E2067" s="401" t="s">
        <v>6</v>
      </c>
      <c r="F2067" s="402" t="s">
        <v>3378</v>
      </c>
      <c r="G2067" s="403">
        <v>45782</v>
      </c>
      <c r="H2067" s="401" t="s">
        <v>11</v>
      </c>
      <c r="I2067" s="368" t="str">
        <f>VLOOKUP(H2067,'[2]Source Codes'!A$2:B$115,2,FALSE)</f>
        <v>AR Payments</v>
      </c>
      <c r="J2067" s="418">
        <v>1825611.41</v>
      </c>
      <c r="K2067" s="403">
        <v>45783</v>
      </c>
      <c r="L2067" s="369" t="s">
        <v>3384</v>
      </c>
      <c r="M2067" s="405">
        <v>45783.752268518518</v>
      </c>
      <c r="N2067" s="368" t="s">
        <v>359</v>
      </c>
      <c r="O2067" s="368" t="s">
        <v>357</v>
      </c>
      <c r="P2067" s="399" t="str">
        <f>IF(J2067&gt;0,"Revenue",IF(J2067&lt;0,"Expense"))</f>
        <v>Revenue</v>
      </c>
      <c r="Q2067" s="366" t="s">
        <v>2157</v>
      </c>
      <c r="R2067" s="366" t="s">
        <v>2857</v>
      </c>
      <c r="S2067" s="366" t="s">
        <v>2531</v>
      </c>
    </row>
    <row r="2068" spans="1:19" ht="30" hidden="1" outlineLevel="1">
      <c r="B2068" s="400">
        <v>2025</v>
      </c>
      <c r="C2068" s="400">
        <v>11</v>
      </c>
      <c r="D2068" s="401" t="s">
        <v>5</v>
      </c>
      <c r="E2068" s="401" t="s">
        <v>6</v>
      </c>
      <c r="F2068" s="402" t="s">
        <v>3379</v>
      </c>
      <c r="G2068" s="403">
        <v>45778</v>
      </c>
      <c r="H2068" s="401" t="s">
        <v>16</v>
      </c>
      <c r="I2068" s="368" t="str">
        <f>VLOOKUP(H2068,'Source Codes'!A$2:B$115,2,FALSE)</f>
        <v>Property Tax Interface</v>
      </c>
      <c r="J2068" s="418">
        <v>8105462.3899999997</v>
      </c>
      <c r="K2068" s="403">
        <v>45783</v>
      </c>
      <c r="L2068" s="404" t="s">
        <v>3380</v>
      </c>
      <c r="M2068" s="405">
        <v>45783.335532407407</v>
      </c>
      <c r="N2068" s="368" t="s">
        <v>387</v>
      </c>
      <c r="O2068" s="368" t="s">
        <v>384</v>
      </c>
      <c r="P2068" s="399" t="str">
        <f>IF(J2068&gt;0,"Revenue",IF(J2068&lt;0,"Expense"))</f>
        <v>Revenue</v>
      </c>
      <c r="Q2068" s="366" t="s">
        <v>2506</v>
      </c>
      <c r="R2068" s="366" t="s">
        <v>3388</v>
      </c>
      <c r="S2068" s="366" t="s">
        <v>3385</v>
      </c>
    </row>
    <row r="2069" spans="1:19" ht="15" hidden="1" outlineLevel="1">
      <c r="B2069" s="400">
        <v>2025</v>
      </c>
      <c r="C2069" s="400">
        <v>10</v>
      </c>
      <c r="D2069" s="401" t="s">
        <v>5</v>
      </c>
      <c r="E2069" s="401" t="s">
        <v>6</v>
      </c>
      <c r="F2069" s="402" t="s">
        <v>3381</v>
      </c>
      <c r="G2069" s="403">
        <v>45777</v>
      </c>
      <c r="H2069" s="401" t="s">
        <v>8</v>
      </c>
      <c r="I2069" s="368" t="str">
        <f>VLOOKUP(H2069,'Source Codes'!A$2:B$115,2,FALSE)</f>
        <v>Prch,Cntrl Mail,Flt,Prntg,Sply</v>
      </c>
      <c r="J2069" s="418">
        <v>-2429214.29</v>
      </c>
      <c r="K2069" s="403">
        <v>45783</v>
      </c>
      <c r="L2069" s="404" t="s">
        <v>3382</v>
      </c>
      <c r="M2069" s="405">
        <v>45783.378321759257</v>
      </c>
      <c r="N2069" s="368" t="s">
        <v>359</v>
      </c>
      <c r="O2069" s="368" t="s">
        <v>382</v>
      </c>
      <c r="P2069" s="399" t="str">
        <f>IF(J2069&gt;0,"Revenue",IF(J2069&lt;0,"Expense"))</f>
        <v>Expense</v>
      </c>
      <c r="Q2069" s="366" t="s">
        <v>2328</v>
      </c>
      <c r="R2069" s="366" t="s">
        <v>3386</v>
      </c>
      <c r="S2069" s="366" t="s">
        <v>2535</v>
      </c>
    </row>
    <row r="2070" spans="1:19" ht="12.75" customHeight="1" collapsed="1">
      <c r="B2070" s="400"/>
      <c r="C2070" s="400"/>
      <c r="D2070" s="401"/>
      <c r="E2070" s="401"/>
      <c r="F2070" s="402"/>
      <c r="G2070" s="403"/>
      <c r="H2070" s="401"/>
      <c r="I2070" s="368"/>
      <c r="J2070" s="419">
        <f>SUM(J2066:J2069)</f>
        <v>6136541.0199999986</v>
      </c>
      <c r="K2070" s="403"/>
      <c r="L2070" s="404"/>
      <c r="M2070" s="405"/>
      <c r="N2070" s="368"/>
      <c r="O2070" s="368"/>
      <c r="P2070" s="368"/>
      <c r="Q2070" s="366"/>
      <c r="R2070" s="366"/>
      <c r="S2070" s="366"/>
    </row>
    <row r="2072" spans="1:19" ht="12.75" customHeight="1">
      <c r="A2072" s="378" t="s">
        <v>3389</v>
      </c>
    </row>
    <row r="2073" spans="1:19" ht="30" hidden="1" outlineLevel="1">
      <c r="B2073" s="400">
        <v>2025</v>
      </c>
      <c r="C2073" s="400">
        <v>11</v>
      </c>
      <c r="D2073" s="401" t="s">
        <v>5</v>
      </c>
      <c r="E2073" s="401" t="s">
        <v>6</v>
      </c>
      <c r="F2073" s="402" t="s">
        <v>3390</v>
      </c>
      <c r="G2073" s="403">
        <v>45786</v>
      </c>
      <c r="H2073" s="401" t="s">
        <v>14</v>
      </c>
      <c r="I2073" s="368" t="str">
        <f>VLOOKUP(H2073,'Source Codes'!A$2:B$115,2,FALSE)</f>
        <v>AP Warrant Issuance</v>
      </c>
      <c r="J2073" s="418">
        <v>-2313319.7000000002</v>
      </c>
      <c r="K2073" s="403">
        <v>45784</v>
      </c>
      <c r="L2073" s="404" t="s">
        <v>3396</v>
      </c>
      <c r="M2073" s="405">
        <v>45784.793900462966</v>
      </c>
      <c r="N2073" s="368" t="s">
        <v>359</v>
      </c>
      <c r="O2073" s="368" t="s">
        <v>368</v>
      </c>
      <c r="P2073" s="399" t="str">
        <f>IF(J2073&gt;0,"Revenue",IF(J2073&lt;0,"Expense"))</f>
        <v>Expense</v>
      </c>
      <c r="Q2073" s="366" t="s">
        <v>2154</v>
      </c>
      <c r="R2073" s="366" t="s">
        <v>2154</v>
      </c>
      <c r="S2073" s="366" t="s">
        <v>303</v>
      </c>
    </row>
    <row r="2074" spans="1:19" ht="30" hidden="1" outlineLevel="1">
      <c r="B2074" s="400">
        <v>2025</v>
      </c>
      <c r="C2074" s="400">
        <v>11</v>
      </c>
      <c r="D2074" s="401" t="s">
        <v>5</v>
      </c>
      <c r="E2074" s="401" t="s">
        <v>6</v>
      </c>
      <c r="F2074" s="402" t="s">
        <v>3391</v>
      </c>
      <c r="G2074" s="403">
        <v>45784</v>
      </c>
      <c r="H2074" s="401" t="s">
        <v>11</v>
      </c>
      <c r="I2074" s="368" t="str">
        <f>VLOOKUP(H2074,'Source Codes'!A$2:B$115,2,FALSE)</f>
        <v>AR Payments</v>
      </c>
      <c r="J2074" s="418">
        <v>1208076.1499999999</v>
      </c>
      <c r="K2074" s="403">
        <v>45784</v>
      </c>
      <c r="L2074" s="404" t="s">
        <v>3397</v>
      </c>
      <c r="M2074" s="405">
        <v>45784.752222222225</v>
      </c>
      <c r="N2074" s="368" t="s">
        <v>359</v>
      </c>
      <c r="O2074" s="368" t="s">
        <v>357</v>
      </c>
      <c r="P2074" s="399" t="str">
        <f>IF(J2074&gt;0,"Revenue",IF(J2074&lt;0,"Expense"))</f>
        <v>Revenue</v>
      </c>
      <c r="Q2074" s="366" t="s">
        <v>2157</v>
      </c>
      <c r="R2074" s="366" t="s">
        <v>2857</v>
      </c>
      <c r="S2074" s="366" t="s">
        <v>2278</v>
      </c>
    </row>
    <row r="2075" spans="1:19" ht="30" hidden="1" outlineLevel="1">
      <c r="B2075" s="400">
        <v>2025</v>
      </c>
      <c r="C2075" s="400">
        <v>10</v>
      </c>
      <c r="D2075" s="401" t="s">
        <v>5</v>
      </c>
      <c r="E2075" s="401" t="s">
        <v>6</v>
      </c>
      <c r="F2075" s="402" t="s">
        <v>3392</v>
      </c>
      <c r="G2075" s="403">
        <v>45775</v>
      </c>
      <c r="H2075" s="401" t="s">
        <v>13</v>
      </c>
      <c r="I2075" s="368" t="str">
        <f>VLOOKUP(H2075,'Source Codes'!A$2:B$115,2,FALSE)</f>
        <v>C-IV Voucher/Payments/EBT</v>
      </c>
      <c r="J2075" s="418">
        <v>11715480.65</v>
      </c>
      <c r="K2075" s="403">
        <v>45784</v>
      </c>
      <c r="L2075" s="404" t="s">
        <v>3394</v>
      </c>
      <c r="M2075" s="405">
        <v>45784.870497685188</v>
      </c>
      <c r="N2075" s="368" t="s">
        <v>2185</v>
      </c>
      <c r="O2075" s="368" t="s">
        <v>364</v>
      </c>
      <c r="P2075" s="399" t="str">
        <f>IF(J2075&gt;0,"Revenue",IF(J2075&lt;0,"Expense"))</f>
        <v>Revenue</v>
      </c>
      <c r="Q2075" s="366" t="s">
        <v>2232</v>
      </c>
      <c r="R2075" s="366" t="s">
        <v>2232</v>
      </c>
      <c r="S2075" s="366">
        <v>530480</v>
      </c>
    </row>
    <row r="2076" spans="1:19" ht="45" hidden="1" outlineLevel="1">
      <c r="B2076" s="400">
        <v>2025</v>
      </c>
      <c r="C2076" s="400">
        <v>11</v>
      </c>
      <c r="D2076" s="401" t="s">
        <v>5</v>
      </c>
      <c r="E2076" s="401" t="s">
        <v>6</v>
      </c>
      <c r="F2076" s="402" t="s">
        <v>3393</v>
      </c>
      <c r="G2076" s="403">
        <v>45782</v>
      </c>
      <c r="H2076" s="401" t="s">
        <v>9</v>
      </c>
      <c r="I2076" s="368" t="str">
        <f>VLOOKUP(H2076,'Source Codes'!A$2:B$115,2,FALSE)</f>
        <v>On Line Journal Entries</v>
      </c>
      <c r="J2076" s="418">
        <v>1180632.29</v>
      </c>
      <c r="K2076" s="403">
        <v>45784</v>
      </c>
      <c r="L2076" s="404" t="s">
        <v>3395</v>
      </c>
      <c r="M2076" s="405">
        <v>45784.765497685185</v>
      </c>
      <c r="N2076" s="368" t="s">
        <v>2185</v>
      </c>
      <c r="O2076" s="368" t="s">
        <v>380</v>
      </c>
      <c r="P2076" s="399" t="str">
        <f>IF(J2076&gt;0,"Revenue",IF(J2076&lt;0,"Expense"))</f>
        <v>Revenue</v>
      </c>
      <c r="Q2076" s="404" t="s">
        <v>3398</v>
      </c>
      <c r="R2076" s="404" t="s">
        <v>3398</v>
      </c>
      <c r="S2076" s="366">
        <v>725020</v>
      </c>
    </row>
    <row r="2077" spans="1:19" ht="12.75" customHeight="1" collapsed="1">
      <c r="J2077" s="413">
        <f>SUM(J2073:J2076)</f>
        <v>11790869.390000001</v>
      </c>
    </row>
    <row r="2079" spans="1:19" ht="12.75" customHeight="1">
      <c r="A2079" s="378" t="s">
        <v>3399</v>
      </c>
    </row>
    <row r="2080" spans="1:19" ht="60" hidden="1" outlineLevel="1">
      <c r="B2080" s="400">
        <v>2025</v>
      </c>
      <c r="C2080" s="400">
        <v>11</v>
      </c>
      <c r="D2080" s="401" t="s">
        <v>5</v>
      </c>
      <c r="E2080" s="401" t="s">
        <v>6</v>
      </c>
      <c r="F2080" s="402" t="s">
        <v>3400</v>
      </c>
      <c r="G2080" s="403">
        <v>45785</v>
      </c>
      <c r="H2080" s="401" t="s">
        <v>14</v>
      </c>
      <c r="I2080" s="368" t="str">
        <f>VLOOKUP(H2080,'Source Codes'!A$2:B$115,2,FALSE)</f>
        <v>AP Warrant Issuance</v>
      </c>
      <c r="J2080" s="418">
        <v>-9023573.9800000004</v>
      </c>
      <c r="K2080" s="403">
        <v>45785</v>
      </c>
      <c r="L2080" s="404" t="s">
        <v>3405</v>
      </c>
      <c r="M2080" s="405">
        <v>45785.793854166666</v>
      </c>
      <c r="N2080" s="368" t="s">
        <v>356</v>
      </c>
      <c r="O2080" s="368" t="s">
        <v>364</v>
      </c>
      <c r="P2080" s="399" t="str">
        <f>IF(J2080&gt;0,"Revenue",IF(J2080&lt;0,"Expense"))</f>
        <v>Expense</v>
      </c>
      <c r="Q2080" s="366" t="s">
        <v>2748</v>
      </c>
      <c r="R2080" s="393">
        <v>45778</v>
      </c>
      <c r="S2080" s="366">
        <v>530440</v>
      </c>
    </row>
    <row r="2081" spans="1:19" ht="30" hidden="1" outlineLevel="1">
      <c r="B2081" s="400">
        <v>2025</v>
      </c>
      <c r="C2081" s="400">
        <v>10</v>
      </c>
      <c r="D2081" s="401" t="s">
        <v>5</v>
      </c>
      <c r="E2081" s="401" t="s">
        <v>6</v>
      </c>
      <c r="F2081" s="402" t="s">
        <v>3401</v>
      </c>
      <c r="G2081" s="403">
        <v>45762</v>
      </c>
      <c r="H2081" s="401" t="s">
        <v>9</v>
      </c>
      <c r="I2081" s="368" t="str">
        <f>VLOOKUP(H2081,'Source Codes'!A$2:B$115,2,FALSE)</f>
        <v>On Line Journal Entries</v>
      </c>
      <c r="J2081" s="418">
        <v>-3526136.72</v>
      </c>
      <c r="K2081" s="403">
        <v>45785</v>
      </c>
      <c r="L2081" s="404" t="s">
        <v>3403</v>
      </c>
      <c r="M2081" s="405">
        <v>45785.464201388888</v>
      </c>
      <c r="N2081" s="368" t="s">
        <v>387</v>
      </c>
      <c r="O2081" s="368" t="s">
        <v>362</v>
      </c>
      <c r="P2081" s="399" t="str">
        <f>IF(J2081&gt;0,"Revenue",IF(J2081&lt;0,"Expense"))</f>
        <v>Expense</v>
      </c>
      <c r="Q2081" s="366" t="s">
        <v>3172</v>
      </c>
      <c r="R2081" s="366" t="s">
        <v>3406</v>
      </c>
      <c r="S2081" s="366">
        <v>525440</v>
      </c>
    </row>
    <row r="2082" spans="1:19" ht="45" hidden="1" outlineLevel="1">
      <c r="B2082" s="400">
        <v>2025</v>
      </c>
      <c r="C2082" s="400">
        <v>10</v>
      </c>
      <c r="D2082" s="401" t="s">
        <v>5</v>
      </c>
      <c r="E2082" s="401" t="s">
        <v>6</v>
      </c>
      <c r="F2082" s="402" t="s">
        <v>3402</v>
      </c>
      <c r="G2082" s="403">
        <v>45777</v>
      </c>
      <c r="H2082" s="401" t="s">
        <v>9</v>
      </c>
      <c r="I2082" s="368" t="str">
        <f>VLOOKUP(H2082,'Source Codes'!A$2:B$115,2,FALSE)</f>
        <v>On Line Journal Entries</v>
      </c>
      <c r="J2082" s="418">
        <v>-11331719.32</v>
      </c>
      <c r="K2082" s="403">
        <v>45785</v>
      </c>
      <c r="L2082" s="404" t="s">
        <v>3404</v>
      </c>
      <c r="M2082" s="405">
        <v>45785.351956018516</v>
      </c>
      <c r="N2082" s="368" t="s">
        <v>387</v>
      </c>
      <c r="O2082" s="368" t="s">
        <v>358</v>
      </c>
      <c r="P2082" s="399" t="str">
        <f>IF(J2082&gt;0,"Revenue",IF(J2082&lt;0,"Expense"))</f>
        <v>Expense</v>
      </c>
      <c r="Q2082" s="366" t="s">
        <v>3408</v>
      </c>
      <c r="R2082" s="366" t="s">
        <v>3408</v>
      </c>
      <c r="S2082" s="366" t="s">
        <v>3407</v>
      </c>
    </row>
    <row r="2083" spans="1:19" ht="12.75" customHeight="1" collapsed="1">
      <c r="J2083" s="413">
        <f>SUM(J2080:J2082)</f>
        <v>-23881430.020000003</v>
      </c>
      <c r="P2083" s="399"/>
    </row>
    <row r="2084" spans="1:19" ht="12.75" customHeight="1">
      <c r="P2084" s="399"/>
    </row>
    <row r="2085" spans="1:19" ht="12.75" customHeight="1">
      <c r="A2085" s="378" t="s">
        <v>3409</v>
      </c>
      <c r="P2085" s="399"/>
    </row>
    <row r="2086" spans="1:19" ht="30" hidden="1" outlineLevel="1">
      <c r="B2086" s="384">
        <v>2025</v>
      </c>
      <c r="C2086" s="384">
        <v>11</v>
      </c>
      <c r="D2086" s="367" t="s">
        <v>5</v>
      </c>
      <c r="E2086" s="367" t="s">
        <v>6</v>
      </c>
      <c r="F2086" s="389" t="s">
        <v>3410</v>
      </c>
      <c r="G2086" s="385">
        <v>45779</v>
      </c>
      <c r="H2086" s="367" t="s">
        <v>12</v>
      </c>
      <c r="I2086" s="368" t="str">
        <f>VLOOKUP(H2086,'Source Codes'!A$2:B$115,2,FALSE)</f>
        <v>AR Direct Cash Journal</v>
      </c>
      <c r="J2086" s="412">
        <v>2160120.38</v>
      </c>
      <c r="K2086" s="385">
        <v>45786</v>
      </c>
      <c r="L2086" s="387" t="s">
        <v>3414</v>
      </c>
      <c r="M2086" s="390">
        <v>45786.751805555556</v>
      </c>
      <c r="N2086" s="367" t="s">
        <v>356</v>
      </c>
      <c r="O2086" s="368" t="s">
        <v>2631</v>
      </c>
      <c r="P2086" s="367" t="str">
        <f>IF(J2086&gt;0,"Revenue",IF(J2086&lt;0,"Expense"))</f>
        <v>Revenue</v>
      </c>
      <c r="Q2086" s="366" t="s">
        <v>2632</v>
      </c>
      <c r="R2086" s="366" t="s">
        <v>2632</v>
      </c>
      <c r="S2086" s="395" t="s">
        <v>203</v>
      </c>
    </row>
    <row r="2087" spans="1:19" ht="30" hidden="1" outlineLevel="1">
      <c r="B2087" s="384">
        <v>2025</v>
      </c>
      <c r="C2087" s="384">
        <v>11</v>
      </c>
      <c r="D2087" s="367" t="s">
        <v>5</v>
      </c>
      <c r="E2087" s="367" t="s">
        <v>6</v>
      </c>
      <c r="F2087" s="389" t="s">
        <v>3411</v>
      </c>
      <c r="G2087" s="385">
        <v>45786</v>
      </c>
      <c r="H2087" s="367" t="s">
        <v>9</v>
      </c>
      <c r="I2087" s="368" t="str">
        <f>VLOOKUP(H2087,'Source Codes'!A$2:B$115,2,FALSE)</f>
        <v>On Line Journal Entries</v>
      </c>
      <c r="J2087" s="412">
        <v>18281968.079999998</v>
      </c>
      <c r="K2087" s="385">
        <v>45786</v>
      </c>
      <c r="L2087" s="387" t="s">
        <v>3413</v>
      </c>
      <c r="M2087" s="390">
        <v>45786.60328703704</v>
      </c>
      <c r="N2087" s="367" t="s">
        <v>387</v>
      </c>
      <c r="O2087" s="368" t="s">
        <v>358</v>
      </c>
      <c r="P2087" s="367" t="str">
        <f>IF(J2087&gt;0,"Revenue",IF(J2087&lt;0,"Expense"))</f>
        <v>Revenue</v>
      </c>
      <c r="Q2087" s="366" t="s">
        <v>3408</v>
      </c>
      <c r="R2087" s="366" t="s">
        <v>3412</v>
      </c>
      <c r="S2087" s="395">
        <v>132600</v>
      </c>
    </row>
    <row r="2088" spans="1:19" ht="12.75" customHeight="1" collapsed="1">
      <c r="I2088" s="368"/>
      <c r="J2088" s="413">
        <f>SUM(J2086:J2087)</f>
        <v>20442088.459999997</v>
      </c>
      <c r="P2088" s="367"/>
    </row>
    <row r="2089" spans="1:19" ht="12.75" customHeight="1">
      <c r="I2089" s="368"/>
      <c r="P2089" s="367"/>
    </row>
    <row r="2090" spans="1:19" ht="12.75" customHeight="1">
      <c r="A2090" s="378" t="s">
        <v>3415</v>
      </c>
      <c r="I2090" s="368"/>
      <c r="P2090" s="367"/>
    </row>
    <row r="2091" spans="1:19" ht="15" hidden="1" outlineLevel="1">
      <c r="B2091" s="384">
        <v>2025</v>
      </c>
      <c r="C2091" s="384">
        <v>11</v>
      </c>
      <c r="D2091" s="367" t="s">
        <v>5</v>
      </c>
      <c r="E2091" s="367" t="s">
        <v>6</v>
      </c>
      <c r="F2091" s="389" t="s">
        <v>3416</v>
      </c>
      <c r="G2091" s="385">
        <v>45783</v>
      </c>
      <c r="H2091" s="367" t="s">
        <v>9</v>
      </c>
      <c r="I2091" s="368" t="str">
        <f>VLOOKUP(H2091,'Source Codes'!A$2:B$115,2,FALSE)</f>
        <v>On Line Journal Entries</v>
      </c>
      <c r="J2091" s="412">
        <v>-1542083</v>
      </c>
      <c r="K2091" s="385">
        <v>45789</v>
      </c>
      <c r="L2091" s="387" t="s">
        <v>3418</v>
      </c>
      <c r="M2091" s="390">
        <v>45789.870416666665</v>
      </c>
      <c r="N2091" s="367" t="s">
        <v>356</v>
      </c>
      <c r="O2091" s="368" t="s">
        <v>368</v>
      </c>
      <c r="P2091" s="367" t="str">
        <f>IF(J2091&gt;0,"Revenue",IF(J2091&lt;0,"Expense"))</f>
        <v>Expense</v>
      </c>
      <c r="Q2091" s="366" t="s">
        <v>2219</v>
      </c>
      <c r="R2091" s="366" t="s">
        <v>3425</v>
      </c>
      <c r="S2091" s="366">
        <v>530280</v>
      </c>
    </row>
    <row r="2092" spans="1:19" ht="30" hidden="1" outlineLevel="1">
      <c r="B2092" s="384">
        <v>2025</v>
      </c>
      <c r="C2092" s="384">
        <v>11</v>
      </c>
      <c r="D2092" s="367" t="s">
        <v>5</v>
      </c>
      <c r="E2092" s="367" t="s">
        <v>6</v>
      </c>
      <c r="F2092" s="389" t="s">
        <v>3417</v>
      </c>
      <c r="G2092" s="385">
        <v>45789</v>
      </c>
      <c r="H2092" s="367" t="s">
        <v>9</v>
      </c>
      <c r="I2092" s="368" t="str">
        <f>VLOOKUP(H2092,'Source Codes'!A$2:B$115,2,FALSE)</f>
        <v>On Line Journal Entries</v>
      </c>
      <c r="J2092" s="412">
        <v>-1444500</v>
      </c>
      <c r="K2092" s="385">
        <v>45789</v>
      </c>
      <c r="L2092" s="387" t="s">
        <v>3426</v>
      </c>
      <c r="M2092" s="390">
        <v>45789.870416666665</v>
      </c>
      <c r="N2092" s="367" t="s">
        <v>387</v>
      </c>
      <c r="O2092" s="368" t="s">
        <v>358</v>
      </c>
      <c r="P2092" s="367" t="str">
        <f>IF(J2092&gt;0,"Revenue",IF(J2092&lt;0,"Expense"))</f>
        <v>Expense</v>
      </c>
      <c r="Q2092" s="366" t="s">
        <v>3420</v>
      </c>
      <c r="R2092" s="366" t="s">
        <v>3421</v>
      </c>
      <c r="S2092" s="395">
        <v>551100</v>
      </c>
    </row>
    <row r="2093" spans="1:19" ht="30" hidden="1" outlineLevel="1">
      <c r="B2093" s="384">
        <v>2025</v>
      </c>
      <c r="C2093" s="384">
        <v>11</v>
      </c>
      <c r="D2093" s="367" t="s">
        <v>5</v>
      </c>
      <c r="E2093" s="367" t="s">
        <v>6</v>
      </c>
      <c r="F2093" s="389" t="s">
        <v>3419</v>
      </c>
      <c r="G2093" s="385">
        <v>45785</v>
      </c>
      <c r="H2093" s="367" t="s">
        <v>16</v>
      </c>
      <c r="I2093" s="368" t="str">
        <f>VLOOKUP(H2093,'Source Codes'!A$2:B$115,2,FALSE)</f>
        <v>Property Tax Interface</v>
      </c>
      <c r="J2093" s="412">
        <v>5547144.2000000002</v>
      </c>
      <c r="K2093" s="385">
        <v>45789</v>
      </c>
      <c r="L2093" s="387" t="s">
        <v>3422</v>
      </c>
      <c r="M2093" s="390">
        <v>45789.659108796295</v>
      </c>
      <c r="N2093" s="367" t="s">
        <v>361</v>
      </c>
      <c r="O2093" s="368" t="s">
        <v>384</v>
      </c>
      <c r="P2093" s="367" t="str">
        <f>IF(J2093&gt;0,"Revenue",IF(J2093&lt;0,"Expense"))</f>
        <v>Revenue</v>
      </c>
      <c r="Q2093" s="366" t="s">
        <v>2946</v>
      </c>
      <c r="R2093" s="366" t="s">
        <v>3423</v>
      </c>
      <c r="S2093" s="395" t="s">
        <v>3424</v>
      </c>
    </row>
    <row r="2094" spans="1:19" ht="12.75" customHeight="1" collapsed="1">
      <c r="I2094" s="368"/>
      <c r="J2094" s="413">
        <f>SUM(J2091:J2093)</f>
        <v>2560561.2000000002</v>
      </c>
      <c r="P2094" s="367"/>
    </row>
    <row r="2095" spans="1:19" ht="12.75" customHeight="1">
      <c r="I2095" s="368"/>
      <c r="P2095" s="367"/>
    </row>
    <row r="2096" spans="1:19" ht="12.75" customHeight="1">
      <c r="A2096" s="378" t="s">
        <v>3427</v>
      </c>
      <c r="I2096" s="368"/>
      <c r="P2096" s="367"/>
    </row>
    <row r="2097" spans="2:19" ht="30" hidden="1" outlineLevel="1">
      <c r="B2097" s="384">
        <v>2025</v>
      </c>
      <c r="C2097" s="384">
        <v>11</v>
      </c>
      <c r="D2097" s="367" t="s">
        <v>5</v>
      </c>
      <c r="E2097" s="367" t="s">
        <v>6</v>
      </c>
      <c r="F2097" s="389" t="s">
        <v>3428</v>
      </c>
      <c r="G2097" s="385">
        <v>45790</v>
      </c>
      <c r="H2097" s="367" t="s">
        <v>14</v>
      </c>
      <c r="I2097" s="368" t="str">
        <f>VLOOKUP(H2097,'Source Codes'!A$2:B$115,2,FALSE)</f>
        <v>AP Warrant Issuance</v>
      </c>
      <c r="J2097" s="412">
        <v>-1866854.45</v>
      </c>
      <c r="K2097" s="385">
        <v>45790</v>
      </c>
      <c r="L2097" s="387" t="s">
        <v>3451</v>
      </c>
      <c r="M2097" s="390">
        <v>45790.79414351852</v>
      </c>
      <c r="N2097" s="367" t="s">
        <v>356</v>
      </c>
      <c r="O2097" s="368" t="s">
        <v>368</v>
      </c>
      <c r="P2097" s="367" t="str">
        <f t="shared" ref="P2097:P2115" si="25">IF(J2097&gt;0,"Revenue",IF(J2097&lt;0,"Expense"))</f>
        <v>Expense</v>
      </c>
      <c r="Q2097" s="366" t="s">
        <v>2154</v>
      </c>
      <c r="R2097" s="366" t="s">
        <v>2154</v>
      </c>
      <c r="S2097" s="366" t="s">
        <v>303</v>
      </c>
    </row>
    <row r="2098" spans="2:19" ht="30" hidden="1" outlineLevel="1">
      <c r="B2098" s="384">
        <v>2025</v>
      </c>
      <c r="C2098" s="384">
        <v>11</v>
      </c>
      <c r="D2098" s="367" t="s">
        <v>5</v>
      </c>
      <c r="E2098" s="367" t="s">
        <v>6</v>
      </c>
      <c r="F2098" s="389" t="s">
        <v>3429</v>
      </c>
      <c r="G2098" s="385">
        <v>45792</v>
      </c>
      <c r="H2098" s="367" t="s">
        <v>14</v>
      </c>
      <c r="I2098" s="368" t="str">
        <f>VLOOKUP(H2098,'Source Codes'!A$2:B$115,2,FALSE)</f>
        <v>AP Warrant Issuance</v>
      </c>
      <c r="J2098" s="412">
        <v>-1532065.94</v>
      </c>
      <c r="K2098" s="385">
        <v>45790</v>
      </c>
      <c r="L2098" s="387" t="s">
        <v>3452</v>
      </c>
      <c r="M2098" s="390">
        <v>45790.79414351852</v>
      </c>
      <c r="N2098" s="367" t="s">
        <v>356</v>
      </c>
      <c r="O2098" s="368" t="s">
        <v>368</v>
      </c>
      <c r="P2098" s="367" t="str">
        <f t="shared" si="25"/>
        <v>Expense</v>
      </c>
      <c r="Q2098" s="366" t="s">
        <v>2154</v>
      </c>
      <c r="R2098" s="366" t="s">
        <v>2154</v>
      </c>
      <c r="S2098" s="366" t="s">
        <v>303</v>
      </c>
    </row>
    <row r="2099" spans="2:19" ht="75" hidden="1" outlineLevel="1">
      <c r="B2099" s="384">
        <v>2025</v>
      </c>
      <c r="C2099" s="384">
        <v>11</v>
      </c>
      <c r="D2099" s="367" t="s">
        <v>5</v>
      </c>
      <c r="E2099" s="367" t="s">
        <v>6</v>
      </c>
      <c r="F2099" s="389" t="s">
        <v>3430</v>
      </c>
      <c r="G2099" s="385">
        <v>45789</v>
      </c>
      <c r="H2099" s="367" t="s">
        <v>11</v>
      </c>
      <c r="I2099" s="368" t="str">
        <f>VLOOKUP(H2099,'Source Codes'!A$2:B$115,2,FALSE)</f>
        <v>AR Payments</v>
      </c>
      <c r="J2099" s="412">
        <v>1321547.57</v>
      </c>
      <c r="K2099" s="385">
        <v>45790</v>
      </c>
      <c r="L2099" s="387" t="s">
        <v>3453</v>
      </c>
      <c r="M2099" s="390">
        <v>45790.752106481479</v>
      </c>
      <c r="N2099" s="367" t="s">
        <v>356</v>
      </c>
      <c r="O2099" s="368" t="s">
        <v>357</v>
      </c>
      <c r="P2099" s="367" t="str">
        <f t="shared" si="25"/>
        <v>Revenue</v>
      </c>
      <c r="Q2099" s="366" t="s">
        <v>2157</v>
      </c>
      <c r="R2099" s="366" t="s">
        <v>2857</v>
      </c>
      <c r="S2099" s="366" t="s">
        <v>2911</v>
      </c>
    </row>
    <row r="2100" spans="2:19" ht="15" hidden="1" outlineLevel="1">
      <c r="B2100" s="384">
        <v>2025</v>
      </c>
      <c r="C2100" s="384">
        <v>11</v>
      </c>
      <c r="D2100" s="367" t="s">
        <v>5</v>
      </c>
      <c r="E2100" s="367" t="s">
        <v>6</v>
      </c>
      <c r="F2100" s="389" t="s">
        <v>3431</v>
      </c>
      <c r="G2100" s="385">
        <v>45778</v>
      </c>
      <c r="H2100" s="367" t="s">
        <v>13</v>
      </c>
      <c r="I2100" s="368" t="str">
        <f>VLOOKUP(H2100,'Source Codes'!A$2:B$115,2,FALSE)</f>
        <v>C-IV Voucher/Payments/EBT</v>
      </c>
      <c r="J2100" s="412">
        <v>-17119595.530000001</v>
      </c>
      <c r="K2100" s="385">
        <v>45790</v>
      </c>
      <c r="L2100" s="387" t="s">
        <v>3436</v>
      </c>
      <c r="M2100" s="390">
        <v>45790.870312500003</v>
      </c>
      <c r="N2100" s="367" t="s">
        <v>356</v>
      </c>
      <c r="O2100" s="368" t="s">
        <v>364</v>
      </c>
      <c r="P2100" s="367" t="str">
        <f t="shared" si="25"/>
        <v>Expense</v>
      </c>
      <c r="Q2100" s="366" t="s">
        <v>2204</v>
      </c>
      <c r="R2100" s="393">
        <v>45748</v>
      </c>
      <c r="S2100" s="366">
        <v>530480</v>
      </c>
    </row>
    <row r="2101" spans="2:19" ht="30" hidden="1" outlineLevel="1">
      <c r="B2101" s="384">
        <v>2025</v>
      </c>
      <c r="C2101" s="384">
        <v>11</v>
      </c>
      <c r="D2101" s="367" t="s">
        <v>5</v>
      </c>
      <c r="E2101" s="367" t="s">
        <v>6</v>
      </c>
      <c r="F2101" s="389" t="s">
        <v>3432</v>
      </c>
      <c r="G2101" s="385">
        <v>45778</v>
      </c>
      <c r="H2101" s="367" t="s">
        <v>13</v>
      </c>
      <c r="I2101" s="368" t="str">
        <f>VLOOKUP(H2101,'Source Codes'!A$2:B$115,2,FALSE)</f>
        <v>C-IV Voucher/Payments/EBT</v>
      </c>
      <c r="J2101" s="412">
        <v>-11715480.65</v>
      </c>
      <c r="K2101" s="385">
        <v>45790</v>
      </c>
      <c r="L2101" s="387" t="s">
        <v>3437</v>
      </c>
      <c r="M2101" s="390">
        <v>45790.870312500003</v>
      </c>
      <c r="N2101" s="367" t="s">
        <v>3458</v>
      </c>
      <c r="O2101" s="368" t="s">
        <v>364</v>
      </c>
      <c r="P2101" s="367" t="str">
        <f t="shared" si="25"/>
        <v>Expense</v>
      </c>
      <c r="Q2101" s="366" t="s">
        <v>2204</v>
      </c>
      <c r="R2101" s="393">
        <v>45772</v>
      </c>
      <c r="S2101" s="366">
        <v>530480</v>
      </c>
    </row>
    <row r="2102" spans="2:19" ht="15" hidden="1" outlineLevel="1">
      <c r="B2102" s="384">
        <v>2025</v>
      </c>
      <c r="C2102" s="384">
        <v>11</v>
      </c>
      <c r="D2102" s="367" t="s">
        <v>5</v>
      </c>
      <c r="E2102" s="367" t="s">
        <v>6</v>
      </c>
      <c r="F2102" s="389" t="s">
        <v>3433</v>
      </c>
      <c r="G2102" s="385">
        <v>45778</v>
      </c>
      <c r="H2102" s="367" t="s">
        <v>13</v>
      </c>
      <c r="I2102" s="368" t="str">
        <f>VLOOKUP(H2102,'Source Codes'!A$2:B$115,2,FALSE)</f>
        <v>C-IV Voucher/Payments/EBT</v>
      </c>
      <c r="J2102" s="412">
        <v>-9962378.4900000002</v>
      </c>
      <c r="K2102" s="385">
        <v>45790</v>
      </c>
      <c r="L2102" s="387" t="s">
        <v>3438</v>
      </c>
      <c r="M2102" s="390">
        <v>45790.870312500003</v>
      </c>
      <c r="N2102" s="367" t="s">
        <v>356</v>
      </c>
      <c r="O2102" s="368" t="s">
        <v>364</v>
      </c>
      <c r="P2102" s="367" t="str">
        <f t="shared" si="25"/>
        <v>Expense</v>
      </c>
      <c r="Q2102" s="366" t="s">
        <v>2204</v>
      </c>
      <c r="R2102" s="393">
        <v>45748</v>
      </c>
      <c r="S2102" s="366">
        <v>530480</v>
      </c>
    </row>
    <row r="2103" spans="2:19" ht="45" hidden="1" outlineLevel="1">
      <c r="B2103" s="384">
        <v>2025</v>
      </c>
      <c r="C2103" s="384">
        <v>11</v>
      </c>
      <c r="D2103" s="367" t="s">
        <v>5</v>
      </c>
      <c r="E2103" s="367" t="s">
        <v>6</v>
      </c>
      <c r="F2103" s="389" t="s">
        <v>3434</v>
      </c>
      <c r="G2103" s="385">
        <v>45782</v>
      </c>
      <c r="H2103" s="367" t="s">
        <v>9</v>
      </c>
      <c r="I2103" s="368" t="str">
        <f>VLOOKUP(H2103,'Source Codes'!A$2:B$115,2,FALSE)</f>
        <v>On Line Journal Entries</v>
      </c>
      <c r="J2103" s="412">
        <v>-1438177</v>
      </c>
      <c r="K2103" s="385">
        <v>45790</v>
      </c>
      <c r="L2103" s="387" t="s">
        <v>3439</v>
      </c>
      <c r="M2103" s="390">
        <v>45790.870300925926</v>
      </c>
      <c r="N2103" s="367" t="s">
        <v>356</v>
      </c>
      <c r="O2103" s="368" t="s">
        <v>364</v>
      </c>
      <c r="P2103" s="367" t="str">
        <f t="shared" si="25"/>
        <v>Expense</v>
      </c>
      <c r="Q2103" s="366" t="s">
        <v>2232</v>
      </c>
      <c r="R2103" s="366" t="s">
        <v>3454</v>
      </c>
      <c r="S2103" s="366">
        <v>750740</v>
      </c>
    </row>
    <row r="2104" spans="2:19" ht="45" hidden="1" outlineLevel="1">
      <c r="B2104" s="384">
        <v>2025</v>
      </c>
      <c r="C2104" s="384">
        <v>11</v>
      </c>
      <c r="D2104" s="367" t="s">
        <v>5</v>
      </c>
      <c r="E2104" s="367" t="s">
        <v>6</v>
      </c>
      <c r="F2104" s="389" t="s">
        <v>3435</v>
      </c>
      <c r="G2104" s="385">
        <v>45782</v>
      </c>
      <c r="H2104" s="367" t="s">
        <v>9</v>
      </c>
      <c r="I2104" s="368" t="str">
        <f>VLOOKUP(H2104,'Source Codes'!A$2:B$115,2,FALSE)</f>
        <v>On Line Journal Entries</v>
      </c>
      <c r="J2104" s="412">
        <v>-1429514</v>
      </c>
      <c r="K2104" s="385">
        <v>45790</v>
      </c>
      <c r="L2104" s="387" t="s">
        <v>3439</v>
      </c>
      <c r="M2104" s="390">
        <v>45790.870300925926</v>
      </c>
      <c r="N2104" s="367" t="s">
        <v>356</v>
      </c>
      <c r="O2104" s="368" t="s">
        <v>364</v>
      </c>
      <c r="P2104" s="367" t="str">
        <f t="shared" si="25"/>
        <v>Expense</v>
      </c>
      <c r="Q2104" s="366" t="s">
        <v>2232</v>
      </c>
      <c r="R2104" s="366" t="s">
        <v>2232</v>
      </c>
      <c r="S2104" s="366">
        <v>750740</v>
      </c>
    </row>
    <row r="2105" spans="2:19" ht="30" hidden="1" outlineLevel="1">
      <c r="B2105" s="384">
        <v>2025</v>
      </c>
      <c r="C2105" s="384">
        <v>11</v>
      </c>
      <c r="D2105" s="367" t="s">
        <v>5</v>
      </c>
      <c r="E2105" s="367" t="s">
        <v>6</v>
      </c>
      <c r="F2105" s="389" t="s">
        <v>3440</v>
      </c>
      <c r="G2105" s="385">
        <v>45783</v>
      </c>
      <c r="H2105" s="367" t="s">
        <v>9</v>
      </c>
      <c r="I2105" s="368" t="str">
        <f>VLOOKUP(H2105,'Source Codes'!A$2:B$115,2,FALSE)</f>
        <v>On Line Journal Entries</v>
      </c>
      <c r="J2105" s="412">
        <v>2139987</v>
      </c>
      <c r="K2105" s="385">
        <v>45790</v>
      </c>
      <c r="L2105" s="387" t="s">
        <v>344</v>
      </c>
      <c r="M2105" s="390">
        <v>45790.870300925926</v>
      </c>
      <c r="N2105" s="367" t="s">
        <v>356</v>
      </c>
      <c r="O2105" s="368" t="s">
        <v>364</v>
      </c>
      <c r="P2105" s="367" t="str">
        <f t="shared" si="25"/>
        <v>Revenue</v>
      </c>
      <c r="Q2105" s="366" t="s">
        <v>2232</v>
      </c>
      <c r="R2105" s="366" t="s">
        <v>2232</v>
      </c>
      <c r="S2105" s="366" t="s">
        <v>2533</v>
      </c>
    </row>
    <row r="2106" spans="2:19" ht="45" hidden="1" outlineLevel="1">
      <c r="B2106" s="384">
        <v>2025</v>
      </c>
      <c r="C2106" s="384">
        <v>11</v>
      </c>
      <c r="D2106" s="367" t="s">
        <v>5</v>
      </c>
      <c r="E2106" s="367" t="s">
        <v>6</v>
      </c>
      <c r="F2106" s="389" t="s">
        <v>3441</v>
      </c>
      <c r="G2106" s="385">
        <v>45783</v>
      </c>
      <c r="H2106" s="367" t="s">
        <v>9</v>
      </c>
      <c r="I2106" s="368" t="str">
        <f>VLOOKUP(H2106,'Source Codes'!A$2:B$115,2,FALSE)</f>
        <v>On Line Journal Entries</v>
      </c>
      <c r="J2106" s="412">
        <v>3112634</v>
      </c>
      <c r="K2106" s="385">
        <v>45790</v>
      </c>
      <c r="L2106" s="387" t="s">
        <v>343</v>
      </c>
      <c r="M2106" s="390">
        <v>45790.870300925926</v>
      </c>
      <c r="N2106" s="367" t="s">
        <v>361</v>
      </c>
      <c r="O2106" s="368" t="s">
        <v>364</v>
      </c>
      <c r="P2106" s="367" t="str">
        <f t="shared" si="25"/>
        <v>Revenue</v>
      </c>
      <c r="Q2106" s="366" t="s">
        <v>2232</v>
      </c>
      <c r="R2106" s="366" t="s">
        <v>2232</v>
      </c>
      <c r="S2106" s="366" t="s">
        <v>3018</v>
      </c>
    </row>
    <row r="2107" spans="2:19" ht="60" hidden="1" outlineLevel="1">
      <c r="B2107" s="384">
        <v>2025</v>
      </c>
      <c r="C2107" s="384">
        <v>11</v>
      </c>
      <c r="D2107" s="367" t="s">
        <v>5</v>
      </c>
      <c r="E2107" s="367" t="s">
        <v>6</v>
      </c>
      <c r="F2107" s="389" t="s">
        <v>3442</v>
      </c>
      <c r="G2107" s="385">
        <v>45786</v>
      </c>
      <c r="H2107" s="367" t="s">
        <v>9</v>
      </c>
      <c r="I2107" s="368" t="str">
        <f>VLOOKUP(H2107,'Source Codes'!A$2:B$115,2,FALSE)</f>
        <v>On Line Journal Entries</v>
      </c>
      <c r="J2107" s="412">
        <v>3419947.18</v>
      </c>
      <c r="K2107" s="385">
        <v>45790</v>
      </c>
      <c r="L2107" s="387" t="s">
        <v>347</v>
      </c>
      <c r="M2107" s="390">
        <v>45790.870300925926</v>
      </c>
      <c r="N2107" s="367" t="s">
        <v>356</v>
      </c>
      <c r="O2107" s="368" t="s">
        <v>364</v>
      </c>
      <c r="P2107" s="367" t="str">
        <f t="shared" si="25"/>
        <v>Revenue</v>
      </c>
      <c r="Q2107" s="366" t="s">
        <v>2232</v>
      </c>
      <c r="R2107" s="366" t="s">
        <v>2232</v>
      </c>
      <c r="S2107" s="366">
        <v>755924</v>
      </c>
    </row>
    <row r="2108" spans="2:19" ht="60" hidden="1" outlineLevel="1">
      <c r="B2108" s="384">
        <v>2025</v>
      </c>
      <c r="C2108" s="384">
        <v>11</v>
      </c>
      <c r="D2108" s="367" t="s">
        <v>5</v>
      </c>
      <c r="E2108" s="367" t="s">
        <v>6</v>
      </c>
      <c r="F2108" s="389" t="s">
        <v>3443</v>
      </c>
      <c r="G2108" s="385">
        <v>45786</v>
      </c>
      <c r="H2108" s="367" t="s">
        <v>9</v>
      </c>
      <c r="I2108" s="368" t="str">
        <f>VLOOKUP(H2108,'Source Codes'!A$2:B$115,2,FALSE)</f>
        <v>On Line Journal Entries</v>
      </c>
      <c r="J2108" s="412">
        <v>3538307.29</v>
      </c>
      <c r="K2108" s="385">
        <v>45790</v>
      </c>
      <c r="L2108" s="387" t="s">
        <v>347</v>
      </c>
      <c r="M2108" s="390">
        <v>45790.870300925926</v>
      </c>
      <c r="N2108" s="367" t="s">
        <v>356</v>
      </c>
      <c r="O2108" s="368" t="s">
        <v>364</v>
      </c>
      <c r="P2108" s="367" t="str">
        <f t="shared" si="25"/>
        <v>Revenue</v>
      </c>
      <c r="Q2108" s="366" t="s">
        <v>2232</v>
      </c>
      <c r="R2108" s="366" t="s">
        <v>2232</v>
      </c>
      <c r="S2108" s="366">
        <v>755924</v>
      </c>
    </row>
    <row r="2109" spans="2:19" ht="30" hidden="1" outlineLevel="1">
      <c r="B2109" s="384">
        <v>2025</v>
      </c>
      <c r="C2109" s="384">
        <v>11</v>
      </c>
      <c r="D2109" s="367" t="s">
        <v>5</v>
      </c>
      <c r="E2109" s="367" t="s">
        <v>6</v>
      </c>
      <c r="F2109" s="389" t="s">
        <v>3444</v>
      </c>
      <c r="G2109" s="385">
        <v>45782</v>
      </c>
      <c r="H2109" s="367" t="s">
        <v>9</v>
      </c>
      <c r="I2109" s="368" t="str">
        <f>VLOOKUP(H2109,'Source Codes'!A$2:B$115,2,FALSE)</f>
        <v>On Line Journal Entries</v>
      </c>
      <c r="J2109" s="412">
        <v>5336153</v>
      </c>
      <c r="K2109" s="385">
        <v>45790</v>
      </c>
      <c r="L2109" s="387" t="s">
        <v>334</v>
      </c>
      <c r="M2109" s="390">
        <v>45790.870300925926</v>
      </c>
      <c r="N2109" s="367" t="s">
        <v>356</v>
      </c>
      <c r="O2109" s="368" t="s">
        <v>364</v>
      </c>
      <c r="P2109" s="367" t="str">
        <f t="shared" si="25"/>
        <v>Revenue</v>
      </c>
      <c r="Q2109" s="366" t="s">
        <v>2232</v>
      </c>
      <c r="R2109" s="366" t="s">
        <v>2232</v>
      </c>
      <c r="S2109" s="366">
        <v>750741</v>
      </c>
    </row>
    <row r="2110" spans="2:19" ht="30" hidden="1" outlineLevel="1">
      <c r="B2110" s="384">
        <v>2025</v>
      </c>
      <c r="C2110" s="384">
        <v>11</v>
      </c>
      <c r="D2110" s="367" t="s">
        <v>5</v>
      </c>
      <c r="E2110" s="367" t="s">
        <v>6</v>
      </c>
      <c r="F2110" s="389" t="s">
        <v>3445</v>
      </c>
      <c r="G2110" s="385">
        <v>45782</v>
      </c>
      <c r="H2110" s="367" t="s">
        <v>9</v>
      </c>
      <c r="I2110" s="368" t="str">
        <f>VLOOKUP(H2110,'Source Codes'!A$2:B$115,2,FALSE)</f>
        <v>On Line Journal Entries</v>
      </c>
      <c r="J2110" s="412">
        <v>5354390</v>
      </c>
      <c r="K2110" s="385">
        <v>45790</v>
      </c>
      <c r="L2110" s="387" t="s">
        <v>334</v>
      </c>
      <c r="M2110" s="390">
        <v>45790.870300925926</v>
      </c>
      <c r="N2110" s="367" t="s">
        <v>356</v>
      </c>
      <c r="O2110" s="368" t="s">
        <v>364</v>
      </c>
      <c r="P2110" s="367" t="str">
        <f t="shared" si="25"/>
        <v>Revenue</v>
      </c>
      <c r="Q2110" s="366" t="s">
        <v>2232</v>
      </c>
      <c r="R2110" s="366" t="s">
        <v>2232</v>
      </c>
      <c r="S2110" s="366">
        <v>750741</v>
      </c>
    </row>
    <row r="2111" spans="2:19" ht="45" hidden="1" outlineLevel="1">
      <c r="B2111" s="384">
        <v>2025</v>
      </c>
      <c r="C2111" s="384">
        <v>11</v>
      </c>
      <c r="D2111" s="367" t="s">
        <v>5</v>
      </c>
      <c r="E2111" s="367" t="s">
        <v>6</v>
      </c>
      <c r="F2111" s="389" t="s">
        <v>3446</v>
      </c>
      <c r="G2111" s="385">
        <v>45782</v>
      </c>
      <c r="H2111" s="367" t="s">
        <v>9</v>
      </c>
      <c r="I2111" s="368" t="str">
        <f>VLOOKUP(H2111,'Source Codes'!A$2:B$115,2,FALSE)</f>
        <v>On Line Journal Entries</v>
      </c>
      <c r="J2111" s="412">
        <v>5851260</v>
      </c>
      <c r="K2111" s="385">
        <v>45790</v>
      </c>
      <c r="L2111" s="387" t="s">
        <v>352</v>
      </c>
      <c r="M2111" s="390">
        <v>45790.870300925926</v>
      </c>
      <c r="N2111" s="367" t="s">
        <v>356</v>
      </c>
      <c r="O2111" s="368" t="s">
        <v>364</v>
      </c>
      <c r="P2111" s="367" t="str">
        <f t="shared" si="25"/>
        <v>Revenue</v>
      </c>
      <c r="Q2111" s="366" t="s">
        <v>2232</v>
      </c>
      <c r="R2111" s="366" t="s">
        <v>2232</v>
      </c>
      <c r="S2111" s="366" t="s">
        <v>2789</v>
      </c>
    </row>
    <row r="2112" spans="2:19" ht="45" hidden="1" outlineLevel="1">
      <c r="B2112" s="384">
        <v>2025</v>
      </c>
      <c r="C2112" s="384">
        <v>11</v>
      </c>
      <c r="D2112" s="367" t="s">
        <v>5</v>
      </c>
      <c r="E2112" s="367" t="s">
        <v>6</v>
      </c>
      <c r="F2112" s="389" t="s">
        <v>3447</v>
      </c>
      <c r="G2112" s="385">
        <v>45782</v>
      </c>
      <c r="H2112" s="367" t="s">
        <v>9</v>
      </c>
      <c r="I2112" s="368" t="str">
        <f>VLOOKUP(H2112,'Source Codes'!A$2:B$115,2,FALSE)</f>
        <v>On Line Journal Entries</v>
      </c>
      <c r="J2112" s="412">
        <v>5917037</v>
      </c>
      <c r="K2112" s="385">
        <v>45790</v>
      </c>
      <c r="L2112" s="387" t="s">
        <v>352</v>
      </c>
      <c r="M2112" s="390">
        <v>45790.870300925926</v>
      </c>
      <c r="N2112" s="367" t="s">
        <v>356</v>
      </c>
      <c r="O2112" s="368" t="s">
        <v>364</v>
      </c>
      <c r="P2112" s="367" t="str">
        <f t="shared" si="25"/>
        <v>Revenue</v>
      </c>
      <c r="Q2112" s="366" t="s">
        <v>2232</v>
      </c>
      <c r="R2112" s="366" t="s">
        <v>2232</v>
      </c>
      <c r="S2112" s="366" t="s">
        <v>2789</v>
      </c>
    </row>
    <row r="2113" spans="1:19" ht="30" hidden="1" outlineLevel="1">
      <c r="B2113" s="384">
        <v>2025</v>
      </c>
      <c r="C2113" s="384">
        <v>11</v>
      </c>
      <c r="D2113" s="367" t="s">
        <v>5</v>
      </c>
      <c r="E2113" s="367" t="s">
        <v>6</v>
      </c>
      <c r="F2113" s="389" t="s">
        <v>3448</v>
      </c>
      <c r="G2113" s="385">
        <v>45785</v>
      </c>
      <c r="H2113" s="367" t="s">
        <v>9</v>
      </c>
      <c r="I2113" s="368" t="str">
        <f>VLOOKUP(H2113,'Source Codes'!A$2:B$115,2,FALSE)</f>
        <v>On Line Journal Entries</v>
      </c>
      <c r="J2113" s="412">
        <v>8797296.4399999995</v>
      </c>
      <c r="K2113" s="385">
        <v>45790</v>
      </c>
      <c r="L2113" s="387" t="s">
        <v>3137</v>
      </c>
      <c r="M2113" s="390">
        <v>45790.603032407409</v>
      </c>
      <c r="N2113" s="367" t="s">
        <v>3455</v>
      </c>
      <c r="O2113" s="368" t="s">
        <v>370</v>
      </c>
      <c r="P2113" s="367" t="str">
        <f t="shared" si="25"/>
        <v>Revenue</v>
      </c>
      <c r="Q2113" s="366" t="s">
        <v>2619</v>
      </c>
      <c r="R2113" s="366" t="s">
        <v>2620</v>
      </c>
      <c r="S2113" s="366">
        <v>778120</v>
      </c>
    </row>
    <row r="2114" spans="1:19" ht="30" hidden="1" outlineLevel="1">
      <c r="B2114" s="384">
        <v>2025</v>
      </c>
      <c r="C2114" s="384">
        <v>11</v>
      </c>
      <c r="D2114" s="367" t="s">
        <v>5</v>
      </c>
      <c r="E2114" s="367" t="s">
        <v>6</v>
      </c>
      <c r="F2114" s="389" t="s">
        <v>3449</v>
      </c>
      <c r="G2114" s="385">
        <v>45783</v>
      </c>
      <c r="H2114" s="367" t="s">
        <v>9</v>
      </c>
      <c r="I2114" s="368" t="str">
        <f>VLOOKUP(H2114,'Source Codes'!A$2:B$115,2,FALSE)</f>
        <v>On Line Journal Entries</v>
      </c>
      <c r="J2114" s="412">
        <v>8861841</v>
      </c>
      <c r="K2114" s="385">
        <v>45790</v>
      </c>
      <c r="L2114" s="387" t="s">
        <v>344</v>
      </c>
      <c r="M2114" s="390">
        <v>45790.870300925926</v>
      </c>
      <c r="N2114" s="367" t="s">
        <v>356</v>
      </c>
      <c r="O2114" s="368" t="s">
        <v>364</v>
      </c>
      <c r="P2114" s="367" t="str">
        <f t="shared" si="25"/>
        <v>Revenue</v>
      </c>
      <c r="Q2114" s="366" t="s">
        <v>2232</v>
      </c>
      <c r="R2114" s="366" t="s">
        <v>2232</v>
      </c>
      <c r="S2114" s="366" t="s">
        <v>3456</v>
      </c>
    </row>
    <row r="2115" spans="1:19" ht="45" hidden="1" outlineLevel="1">
      <c r="B2115" s="384">
        <v>2025</v>
      </c>
      <c r="C2115" s="384">
        <v>11</v>
      </c>
      <c r="D2115" s="367" t="s">
        <v>5</v>
      </c>
      <c r="E2115" s="367" t="s">
        <v>6</v>
      </c>
      <c r="F2115" s="389" t="s">
        <v>3450</v>
      </c>
      <c r="G2115" s="385">
        <v>45783</v>
      </c>
      <c r="H2115" s="367" t="s">
        <v>9</v>
      </c>
      <c r="I2115" s="368" t="str">
        <f>VLOOKUP(H2115,'Source Codes'!A$2:B$115,2,FALSE)</f>
        <v>On Line Journal Entries</v>
      </c>
      <c r="J2115" s="412">
        <v>12494221.32</v>
      </c>
      <c r="K2115" s="385">
        <v>45790</v>
      </c>
      <c r="L2115" s="387" t="s">
        <v>344</v>
      </c>
      <c r="M2115" s="390">
        <v>45790.870300925926</v>
      </c>
      <c r="N2115" s="367" t="s">
        <v>356</v>
      </c>
      <c r="O2115" s="368" t="s">
        <v>364</v>
      </c>
      <c r="P2115" s="367" t="str">
        <f t="shared" si="25"/>
        <v>Revenue</v>
      </c>
      <c r="Q2115" s="366" t="s">
        <v>2232</v>
      </c>
      <c r="R2115" s="366" t="s">
        <v>2232</v>
      </c>
      <c r="S2115" s="366" t="s">
        <v>3457</v>
      </c>
    </row>
    <row r="2116" spans="1:19" ht="12.75" customHeight="1" collapsed="1">
      <c r="I2116" s="368"/>
      <c r="J2116" s="413">
        <f>SUBTOTAL(9,J2097:J2115)</f>
        <v>21080555.739999995</v>
      </c>
      <c r="P2116" s="367"/>
    </row>
    <row r="2117" spans="1:19" ht="12.75" customHeight="1">
      <c r="I2117" s="368"/>
      <c r="P2117" s="367"/>
    </row>
    <row r="2118" spans="1:19" ht="12.75" customHeight="1">
      <c r="A2118" s="378" t="s">
        <v>3459</v>
      </c>
      <c r="I2118" s="368"/>
      <c r="P2118" s="367"/>
    </row>
    <row r="2119" spans="1:19" ht="45" hidden="1" outlineLevel="1">
      <c r="B2119" s="384">
        <v>2025</v>
      </c>
      <c r="C2119" s="384">
        <v>11</v>
      </c>
      <c r="D2119" s="367" t="s">
        <v>5</v>
      </c>
      <c r="E2119" s="367" t="s">
        <v>6</v>
      </c>
      <c r="F2119" s="389" t="s">
        <v>3460</v>
      </c>
      <c r="G2119" s="385">
        <v>45785</v>
      </c>
      <c r="H2119" s="367" t="s">
        <v>12</v>
      </c>
      <c r="I2119" s="368" t="str">
        <f>VLOOKUP(H2119,'Source Codes'!A$2:B$115,2,FALSE)</f>
        <v>AR Direct Cash Journal</v>
      </c>
      <c r="J2119" s="412">
        <v>1441482.88</v>
      </c>
      <c r="K2119" s="385">
        <v>45791</v>
      </c>
      <c r="L2119" s="387" t="s">
        <v>3465</v>
      </c>
      <c r="M2119" s="390">
        <v>45791.752152777779</v>
      </c>
      <c r="N2119" s="367" t="s">
        <v>2185</v>
      </c>
      <c r="O2119" s="368" t="s">
        <v>375</v>
      </c>
      <c r="P2119" s="367" t="str">
        <f>IF(J2119&gt;0,"Revenue",IF(J2119&lt;0,"Expense"))</f>
        <v>Revenue</v>
      </c>
      <c r="Q2119" s="366" t="s">
        <v>3462</v>
      </c>
      <c r="R2119" s="366" t="s">
        <v>3462</v>
      </c>
      <c r="S2119" s="366" t="s">
        <v>3463</v>
      </c>
    </row>
    <row r="2120" spans="1:19" ht="30" hidden="1" outlineLevel="1">
      <c r="B2120" s="384">
        <v>2025</v>
      </c>
      <c r="C2120" s="384">
        <v>11</v>
      </c>
      <c r="D2120" s="367" t="s">
        <v>5</v>
      </c>
      <c r="E2120" s="367" t="s">
        <v>6</v>
      </c>
      <c r="F2120" s="389" t="s">
        <v>3461</v>
      </c>
      <c r="G2120" s="385">
        <v>45791</v>
      </c>
      <c r="H2120" s="367" t="s">
        <v>11</v>
      </c>
      <c r="I2120" s="368" t="str">
        <f>VLOOKUP(H2120,'Source Codes'!A$2:B$115,2,FALSE)</f>
        <v>AR Payments</v>
      </c>
      <c r="J2120" s="412">
        <v>3692285.29</v>
      </c>
      <c r="K2120" s="385">
        <v>45791</v>
      </c>
      <c r="L2120" s="387" t="s">
        <v>3464</v>
      </c>
      <c r="M2120" s="390">
        <v>45791.752152777779</v>
      </c>
      <c r="N2120" s="367" t="s">
        <v>356</v>
      </c>
      <c r="O2120" s="368" t="s">
        <v>362</v>
      </c>
      <c r="P2120" s="367" t="str">
        <f>IF(J2120&gt;0,"Revenue",IF(J2120&lt;0,"Expense"))</f>
        <v>Revenue</v>
      </c>
      <c r="Q2120" s="366" t="s">
        <v>2360</v>
      </c>
      <c r="R2120" s="366" t="s">
        <v>2715</v>
      </c>
      <c r="S2120" s="366">
        <v>118301</v>
      </c>
    </row>
    <row r="2121" spans="1:19" ht="12.75" customHeight="1" collapsed="1">
      <c r="I2121" s="368"/>
      <c r="J2121" s="413">
        <f>SUM(J2119:J2120)</f>
        <v>5133768.17</v>
      </c>
      <c r="P2121" s="367"/>
    </row>
    <row r="2122" spans="1:19" ht="12.75" customHeight="1">
      <c r="I2122" s="368"/>
      <c r="P2122" s="367"/>
    </row>
    <row r="2123" spans="1:19" ht="12.75" customHeight="1">
      <c r="A2123" s="378" t="s">
        <v>3466</v>
      </c>
      <c r="I2123" s="368"/>
      <c r="P2123" s="367"/>
    </row>
    <row r="2124" spans="1:19" ht="45" hidden="1" outlineLevel="1">
      <c r="B2124" s="384">
        <v>2025</v>
      </c>
      <c r="C2124" s="384">
        <v>11</v>
      </c>
      <c r="D2124" s="367" t="s">
        <v>5</v>
      </c>
      <c r="E2124" s="367" t="s">
        <v>6</v>
      </c>
      <c r="F2124" s="389" t="s">
        <v>3467</v>
      </c>
      <c r="G2124" s="385">
        <v>45786</v>
      </c>
      <c r="H2124" s="367" t="s">
        <v>11</v>
      </c>
      <c r="I2124" s="368" t="str">
        <f>VLOOKUP(H2124,'Source Codes'!A$2:B$115,2,FALSE)</f>
        <v>AR Payments</v>
      </c>
      <c r="J2124" s="412">
        <v>2979527.01</v>
      </c>
      <c r="K2124" s="385">
        <v>45792</v>
      </c>
      <c r="L2124" s="387" t="s">
        <v>3484</v>
      </c>
      <c r="M2124" s="390">
        <v>45792.752118055556</v>
      </c>
      <c r="N2124" s="367" t="s">
        <v>356</v>
      </c>
      <c r="O2124" s="368" t="s">
        <v>357</v>
      </c>
      <c r="P2124" s="367" t="str">
        <f t="shared" ref="P2124:P2129" si="26">IF(J2124&gt;0,"Revenue",IF(J2124&lt;0,"Expense"))</f>
        <v>Revenue</v>
      </c>
      <c r="Q2124" s="366" t="s">
        <v>2157</v>
      </c>
      <c r="R2124" s="366" t="s">
        <v>2857</v>
      </c>
      <c r="S2124" s="366" t="s">
        <v>2278</v>
      </c>
    </row>
    <row r="2125" spans="1:19" ht="30" hidden="1" outlineLevel="1">
      <c r="B2125" s="384">
        <v>2025</v>
      </c>
      <c r="C2125" s="384">
        <v>11</v>
      </c>
      <c r="D2125" s="367" t="s">
        <v>5</v>
      </c>
      <c r="E2125" s="367" t="s">
        <v>6</v>
      </c>
      <c r="F2125" s="389" t="s">
        <v>3468</v>
      </c>
      <c r="G2125" s="385">
        <v>45792</v>
      </c>
      <c r="H2125" s="367" t="s">
        <v>11</v>
      </c>
      <c r="I2125" s="368" t="str">
        <f>VLOOKUP(H2125,'Source Codes'!A$2:B$115,2,FALSE)</f>
        <v>AR Payments</v>
      </c>
      <c r="J2125" s="412">
        <v>4083827.08</v>
      </c>
      <c r="K2125" s="385">
        <v>45792</v>
      </c>
      <c r="L2125" s="387" t="s">
        <v>3476</v>
      </c>
      <c r="M2125" s="390">
        <v>45792.752118055556</v>
      </c>
      <c r="N2125" s="367" t="s">
        <v>356</v>
      </c>
      <c r="O2125" s="368" t="s">
        <v>362</v>
      </c>
      <c r="P2125" s="367" t="str">
        <f t="shared" si="26"/>
        <v>Revenue</v>
      </c>
      <c r="Q2125" s="366" t="s">
        <v>3477</v>
      </c>
      <c r="R2125" s="366" t="s">
        <v>2715</v>
      </c>
      <c r="S2125" s="366" t="s">
        <v>2361</v>
      </c>
    </row>
    <row r="2126" spans="1:19" ht="30" hidden="1" outlineLevel="1">
      <c r="B2126" s="384">
        <v>2025</v>
      </c>
      <c r="C2126" s="384">
        <v>11</v>
      </c>
      <c r="D2126" s="367" t="s">
        <v>5</v>
      </c>
      <c r="E2126" s="367" t="s">
        <v>6</v>
      </c>
      <c r="F2126" s="389" t="s">
        <v>3469</v>
      </c>
      <c r="G2126" s="385">
        <v>45785</v>
      </c>
      <c r="H2126" s="367" t="s">
        <v>12</v>
      </c>
      <c r="I2126" s="368" t="str">
        <f>VLOOKUP(H2126,'Source Codes'!A$2:B$115,2,FALSE)</f>
        <v>AR Direct Cash Journal</v>
      </c>
      <c r="J2126" s="412">
        <v>9270057.5700000003</v>
      </c>
      <c r="K2126" s="385">
        <v>45792</v>
      </c>
      <c r="L2126" s="387" t="s">
        <v>3480</v>
      </c>
      <c r="M2126" s="390">
        <v>45792.752118055556</v>
      </c>
      <c r="N2126" s="367" t="s">
        <v>356</v>
      </c>
      <c r="O2126" s="368" t="s">
        <v>368</v>
      </c>
      <c r="P2126" s="367" t="str">
        <f t="shared" si="26"/>
        <v>Revenue</v>
      </c>
      <c r="Q2126" s="366" t="s">
        <v>3479</v>
      </c>
      <c r="R2126" s="366" t="s">
        <v>2715</v>
      </c>
      <c r="S2126" s="366" t="s">
        <v>3478</v>
      </c>
    </row>
    <row r="2127" spans="1:19" ht="30" hidden="1" outlineLevel="1">
      <c r="B2127" s="384">
        <v>2025</v>
      </c>
      <c r="C2127" s="384">
        <v>11</v>
      </c>
      <c r="D2127" s="367" t="s">
        <v>5</v>
      </c>
      <c r="E2127" s="367" t="s">
        <v>6</v>
      </c>
      <c r="F2127" s="389" t="s">
        <v>3470</v>
      </c>
      <c r="G2127" s="385">
        <v>45790</v>
      </c>
      <c r="H2127" s="367" t="s">
        <v>9</v>
      </c>
      <c r="I2127" s="368" t="str">
        <f>VLOOKUP(H2127,'Source Codes'!A$2:B$115,2,FALSE)</f>
        <v>On Line Journal Entries</v>
      </c>
      <c r="J2127" s="412">
        <v>4499207</v>
      </c>
      <c r="K2127" s="385">
        <v>45792</v>
      </c>
      <c r="L2127" s="387" t="s">
        <v>3471</v>
      </c>
      <c r="M2127" s="390">
        <v>45792.870254629626</v>
      </c>
      <c r="N2127" s="367" t="s">
        <v>356</v>
      </c>
      <c r="O2127" s="368" t="s">
        <v>369</v>
      </c>
      <c r="P2127" s="367" t="str">
        <f t="shared" si="26"/>
        <v>Revenue</v>
      </c>
      <c r="Q2127" s="366" t="s">
        <v>2268</v>
      </c>
      <c r="R2127" s="393">
        <v>45778</v>
      </c>
      <c r="S2127" s="366" t="s">
        <v>3481</v>
      </c>
    </row>
    <row r="2128" spans="1:19" ht="15" hidden="1" outlineLevel="1">
      <c r="B2128" s="384">
        <v>2025</v>
      </c>
      <c r="C2128" s="384">
        <v>11</v>
      </c>
      <c r="D2128" s="367" t="s">
        <v>5</v>
      </c>
      <c r="E2128" s="367" t="s">
        <v>6</v>
      </c>
      <c r="F2128" s="389" t="s">
        <v>3472</v>
      </c>
      <c r="G2128" s="385">
        <v>45790</v>
      </c>
      <c r="H2128" s="367" t="s">
        <v>9</v>
      </c>
      <c r="I2128" s="368" t="str">
        <f>VLOOKUP(H2128,'Source Codes'!A$2:B$115,2,FALSE)</f>
        <v>On Line Journal Entries</v>
      </c>
      <c r="J2128" s="412">
        <v>-2317774.61</v>
      </c>
      <c r="K2128" s="385">
        <v>45792</v>
      </c>
      <c r="L2128" s="387" t="s">
        <v>3474</v>
      </c>
      <c r="M2128" s="390">
        <v>45792.870254629626</v>
      </c>
      <c r="N2128" s="367" t="s">
        <v>2185</v>
      </c>
      <c r="O2128" s="368" t="s">
        <v>357</v>
      </c>
      <c r="P2128" s="367" t="str">
        <f t="shared" si="26"/>
        <v>Expense</v>
      </c>
      <c r="Q2128" s="366" t="s">
        <v>2309</v>
      </c>
      <c r="R2128" s="393" t="s">
        <v>3482</v>
      </c>
      <c r="S2128" s="366">
        <v>522310</v>
      </c>
    </row>
    <row r="2129" spans="1:19" ht="45" hidden="1" outlineLevel="1">
      <c r="B2129" s="384">
        <v>2025</v>
      </c>
      <c r="C2129" s="384">
        <v>11</v>
      </c>
      <c r="D2129" s="367" t="s">
        <v>5</v>
      </c>
      <c r="E2129" s="367" t="s">
        <v>6</v>
      </c>
      <c r="F2129" s="389" t="s">
        <v>3473</v>
      </c>
      <c r="G2129" s="385">
        <v>45778</v>
      </c>
      <c r="H2129" s="367" t="s">
        <v>9</v>
      </c>
      <c r="I2129" s="368" t="str">
        <f>VLOOKUP(H2129,'Source Codes'!A$2:B$115,2,FALSE)</f>
        <v>On Line Journal Entries</v>
      </c>
      <c r="J2129" s="412">
        <v>-6660875</v>
      </c>
      <c r="K2129" s="385">
        <v>45792</v>
      </c>
      <c r="L2129" s="387" t="s">
        <v>3475</v>
      </c>
      <c r="M2129" s="390">
        <v>45792.810520833336</v>
      </c>
      <c r="N2129" s="367" t="s">
        <v>356</v>
      </c>
      <c r="O2129" s="368" t="s">
        <v>368</v>
      </c>
      <c r="P2129" s="367" t="str">
        <f t="shared" si="26"/>
        <v>Expense</v>
      </c>
      <c r="Q2129" s="366" t="s">
        <v>2270</v>
      </c>
      <c r="R2129" s="393" t="s">
        <v>3483</v>
      </c>
      <c r="S2129" s="366">
        <v>530280</v>
      </c>
    </row>
    <row r="2130" spans="1:19" ht="12.75" customHeight="1" collapsed="1">
      <c r="J2130" s="413">
        <f>SUM(J2124:J2129)</f>
        <v>11853969.050000001</v>
      </c>
    </row>
    <row r="2132" spans="1:19" ht="12.75" customHeight="1">
      <c r="A2132" s="378" t="s">
        <v>3485</v>
      </c>
    </row>
    <row r="2133" spans="1:19" ht="30" hidden="1" outlineLevel="1">
      <c r="B2133" s="384">
        <v>2025</v>
      </c>
      <c r="C2133" s="384">
        <v>11</v>
      </c>
      <c r="D2133" s="367" t="s">
        <v>5</v>
      </c>
      <c r="E2133" s="367" t="s">
        <v>6</v>
      </c>
      <c r="F2133" s="389" t="s">
        <v>3486</v>
      </c>
      <c r="G2133" s="385">
        <v>45793</v>
      </c>
      <c r="H2133" s="367" t="s">
        <v>351</v>
      </c>
      <c r="I2133" s="368" t="s">
        <v>341</v>
      </c>
      <c r="J2133" s="412">
        <v>1637010.93</v>
      </c>
      <c r="K2133" s="385">
        <v>45793</v>
      </c>
      <c r="L2133" s="387" t="s">
        <v>3487</v>
      </c>
      <c r="M2133" s="390">
        <v>45793.872187499997</v>
      </c>
      <c r="N2133" s="368" t="s">
        <v>372</v>
      </c>
      <c r="O2133" s="368" t="s">
        <v>380</v>
      </c>
      <c r="P2133" s="367" t="str">
        <f>IF(J2133&gt;0,"Revenue",IF(J2133&lt;0,"Expense"))</f>
        <v>Revenue</v>
      </c>
      <c r="Q2133" s="366" t="s">
        <v>2688</v>
      </c>
      <c r="R2133" s="366" t="s">
        <v>3488</v>
      </c>
      <c r="S2133" s="366" t="s">
        <v>3489</v>
      </c>
    </row>
    <row r="2134" spans="1:19" ht="12.75" customHeight="1" collapsed="1">
      <c r="J2134" s="413">
        <f>SUM(J2133)</f>
        <v>1637010.93</v>
      </c>
    </row>
    <row r="2135" spans="1:19" ht="12.75" customHeight="1">
      <c r="A2135" s="378" t="s">
        <v>3490</v>
      </c>
    </row>
    <row r="2136" spans="1:19" ht="45" hidden="1" outlineLevel="1">
      <c r="B2136" s="384">
        <v>2025</v>
      </c>
      <c r="C2136" s="384">
        <v>11</v>
      </c>
      <c r="D2136" s="367" t="s">
        <v>5</v>
      </c>
      <c r="E2136" s="367" t="s">
        <v>6</v>
      </c>
      <c r="F2136" s="389" t="s">
        <v>3491</v>
      </c>
      <c r="G2136" s="385">
        <v>45798</v>
      </c>
      <c r="H2136" s="367" t="s">
        <v>14</v>
      </c>
      <c r="I2136" s="368" t="str">
        <f>VLOOKUP(H2136,'Source Codes'!A$2:B$115,2,FALSE)</f>
        <v>AP Warrant Issuance</v>
      </c>
      <c r="J2136" s="412">
        <v>-5500182.4800000004</v>
      </c>
      <c r="K2136" s="385">
        <v>45796</v>
      </c>
      <c r="L2136" s="369" t="s">
        <v>3498</v>
      </c>
      <c r="M2136" s="390">
        <v>45796.793645833335</v>
      </c>
      <c r="N2136" s="368" t="s">
        <v>359</v>
      </c>
      <c r="O2136" s="368" t="s">
        <v>364</v>
      </c>
      <c r="P2136" s="367" t="str">
        <f t="shared" ref="P2136:P2141" si="27">IF(J2136&gt;0,"Revenue",IF(J2136&lt;0,"Expense"))</f>
        <v>Expense</v>
      </c>
      <c r="Q2136" s="366" t="s">
        <v>2254</v>
      </c>
      <c r="R2136" s="365">
        <v>45778</v>
      </c>
      <c r="S2136" s="366">
        <v>530440</v>
      </c>
    </row>
    <row r="2137" spans="1:19" ht="45" hidden="1" outlineLevel="1">
      <c r="B2137" s="384">
        <v>2025</v>
      </c>
      <c r="C2137" s="384">
        <v>11</v>
      </c>
      <c r="D2137" s="367" t="s">
        <v>5</v>
      </c>
      <c r="E2137" s="367" t="s">
        <v>6</v>
      </c>
      <c r="F2137" s="389" t="s">
        <v>3492</v>
      </c>
      <c r="G2137" s="385">
        <v>45796</v>
      </c>
      <c r="H2137" s="367" t="s">
        <v>14</v>
      </c>
      <c r="I2137" s="368" t="str">
        <f>VLOOKUP(H2137,'Source Codes'!A$2:B$115,2,FALSE)</f>
        <v>AP Warrant Issuance</v>
      </c>
      <c r="J2137" s="412">
        <v>-1077027.99</v>
      </c>
      <c r="K2137" s="385">
        <v>45796</v>
      </c>
      <c r="L2137" s="369" t="s">
        <v>3503</v>
      </c>
      <c r="M2137" s="390">
        <v>45796.793645833335</v>
      </c>
      <c r="N2137" s="368" t="s">
        <v>387</v>
      </c>
      <c r="O2137" s="368" t="s">
        <v>376</v>
      </c>
      <c r="P2137" s="367" t="str">
        <f t="shared" si="27"/>
        <v>Expense</v>
      </c>
      <c r="Q2137" s="366" t="s">
        <v>3105</v>
      </c>
      <c r="R2137" s="366" t="s">
        <v>3499</v>
      </c>
      <c r="S2137" s="366">
        <v>532690</v>
      </c>
    </row>
    <row r="2138" spans="1:19" ht="30" hidden="1" outlineLevel="1">
      <c r="B2138" s="384">
        <v>2025</v>
      </c>
      <c r="C2138" s="384">
        <v>11</v>
      </c>
      <c r="D2138" s="367" t="s">
        <v>5</v>
      </c>
      <c r="E2138" s="367" t="s">
        <v>6</v>
      </c>
      <c r="F2138" s="389" t="s">
        <v>3493</v>
      </c>
      <c r="G2138" s="385">
        <v>45796</v>
      </c>
      <c r="H2138" s="367" t="s">
        <v>11</v>
      </c>
      <c r="I2138" s="368" t="str">
        <f>VLOOKUP(H2138,'Source Codes'!A$2:B$115,2,FALSE)</f>
        <v>AR Payments</v>
      </c>
      <c r="J2138" s="412">
        <v>1394594.81</v>
      </c>
      <c r="K2138" s="385">
        <v>45796</v>
      </c>
      <c r="L2138" s="369" t="s">
        <v>3500</v>
      </c>
      <c r="M2138" s="390">
        <v>45796.751944444448</v>
      </c>
      <c r="N2138" s="368" t="s">
        <v>356</v>
      </c>
      <c r="O2138" s="368" t="s">
        <v>357</v>
      </c>
      <c r="P2138" s="367" t="str">
        <f t="shared" si="27"/>
        <v>Revenue</v>
      </c>
      <c r="Q2138" s="366" t="s">
        <v>2157</v>
      </c>
      <c r="R2138" s="366" t="s">
        <v>2857</v>
      </c>
      <c r="S2138" s="366">
        <v>118501</v>
      </c>
    </row>
    <row r="2139" spans="1:19" ht="15" hidden="1" outlineLevel="1">
      <c r="B2139" s="384">
        <v>2025</v>
      </c>
      <c r="C2139" s="384">
        <v>11</v>
      </c>
      <c r="D2139" s="367" t="s">
        <v>5</v>
      </c>
      <c r="E2139" s="367" t="s">
        <v>6</v>
      </c>
      <c r="F2139" s="389" t="s">
        <v>3494</v>
      </c>
      <c r="G2139" s="385">
        <v>45791</v>
      </c>
      <c r="H2139" s="367" t="s">
        <v>7</v>
      </c>
      <c r="I2139" s="368" t="str">
        <f>VLOOKUP(H2139,'Source Codes'!A$2:B$115,2,FALSE)</f>
        <v>HRMS Interface Journals</v>
      </c>
      <c r="J2139" s="412">
        <v>-2519659.4</v>
      </c>
      <c r="K2139" s="385">
        <v>45796</v>
      </c>
      <c r="L2139" s="387" t="s">
        <v>409</v>
      </c>
      <c r="M2139" s="390">
        <v>45796.468506944446</v>
      </c>
      <c r="N2139" s="368" t="s">
        <v>378</v>
      </c>
      <c r="O2139" s="368" t="s">
        <v>379</v>
      </c>
      <c r="P2139" s="367" t="str">
        <f t="shared" si="27"/>
        <v>Expense</v>
      </c>
      <c r="Q2139" s="366" t="s">
        <v>379</v>
      </c>
      <c r="R2139" s="366" t="s">
        <v>3501</v>
      </c>
      <c r="S2139" s="366">
        <v>513120</v>
      </c>
    </row>
    <row r="2140" spans="1:19" ht="30" hidden="1" outlineLevel="1">
      <c r="B2140" s="384">
        <v>2025</v>
      </c>
      <c r="C2140" s="384">
        <v>11</v>
      </c>
      <c r="D2140" s="367" t="s">
        <v>5</v>
      </c>
      <c r="E2140" s="367" t="s">
        <v>6</v>
      </c>
      <c r="F2140" s="389" t="s">
        <v>3495</v>
      </c>
      <c r="G2140" s="385">
        <v>45778</v>
      </c>
      <c r="H2140" s="367" t="s">
        <v>9</v>
      </c>
      <c r="I2140" s="368" t="str">
        <f>VLOOKUP(H2140,'Source Codes'!A$2:B$115,2,FALSE)</f>
        <v>On Line Journal Entries</v>
      </c>
      <c r="J2140" s="412">
        <v>-4719871.92</v>
      </c>
      <c r="K2140" s="385">
        <v>45796</v>
      </c>
      <c r="L2140" s="387" t="s">
        <v>3497</v>
      </c>
      <c r="M2140" s="390">
        <v>45796.870983796296</v>
      </c>
      <c r="N2140" s="368" t="s">
        <v>359</v>
      </c>
      <c r="O2140" s="368" t="s">
        <v>374</v>
      </c>
      <c r="P2140" s="367" t="str">
        <f t="shared" si="27"/>
        <v>Expense</v>
      </c>
      <c r="Q2140" s="366" t="s">
        <v>2202</v>
      </c>
      <c r="R2140" s="366" t="s">
        <v>3502</v>
      </c>
      <c r="S2140" s="366">
        <v>525840</v>
      </c>
    </row>
    <row r="2141" spans="1:19" ht="15" hidden="1" outlineLevel="1">
      <c r="B2141" s="384">
        <v>2025</v>
      </c>
      <c r="C2141" s="384">
        <v>11</v>
      </c>
      <c r="D2141" s="367" t="s">
        <v>5</v>
      </c>
      <c r="E2141" s="367" t="s">
        <v>6</v>
      </c>
      <c r="F2141" s="389" t="s">
        <v>3496</v>
      </c>
      <c r="G2141" s="385">
        <v>45791</v>
      </c>
      <c r="H2141" s="367" t="s">
        <v>7</v>
      </c>
      <c r="I2141" s="368" t="str">
        <f>VLOOKUP(H2141,'Source Codes'!A$2:B$115,2,FALSE)</f>
        <v>HRMS Interface Journals</v>
      </c>
      <c r="J2141" s="412">
        <v>-13743307.9</v>
      </c>
      <c r="K2141" s="385">
        <v>45796</v>
      </c>
      <c r="L2141" s="387" t="s">
        <v>407</v>
      </c>
      <c r="M2141" s="390">
        <v>45796.451203703706</v>
      </c>
      <c r="N2141" s="368" t="s">
        <v>378</v>
      </c>
      <c r="O2141" s="368" t="s">
        <v>379</v>
      </c>
      <c r="P2141" s="367" t="str">
        <f t="shared" si="27"/>
        <v>Expense</v>
      </c>
      <c r="Q2141" s="366" t="s">
        <v>379</v>
      </c>
      <c r="R2141" s="366" t="s">
        <v>3501</v>
      </c>
      <c r="S2141" s="366" t="s">
        <v>203</v>
      </c>
    </row>
    <row r="2142" spans="1:19" ht="12.75" customHeight="1" collapsed="1">
      <c r="J2142" s="413">
        <f>SUM(J2136:J2141)</f>
        <v>-26165454.880000003</v>
      </c>
    </row>
    <row r="2144" spans="1:19" ht="12.75" customHeight="1">
      <c r="A2144" s="378" t="s">
        <v>3504</v>
      </c>
    </row>
    <row r="2145" spans="1:19" ht="15" hidden="1" outlineLevel="1">
      <c r="B2145" s="384">
        <v>2025</v>
      </c>
      <c r="C2145" s="384">
        <v>11</v>
      </c>
      <c r="D2145" s="367" t="s">
        <v>5</v>
      </c>
      <c r="E2145" s="367" t="s">
        <v>6</v>
      </c>
      <c r="F2145" s="389" t="s">
        <v>3505</v>
      </c>
      <c r="G2145" s="385">
        <v>45791</v>
      </c>
      <c r="H2145" s="367" t="s">
        <v>8</v>
      </c>
      <c r="I2145" s="368" t="str">
        <f>VLOOKUP(H2145,'Source Codes'!A$2:B$115,2,FALSE)</f>
        <v>Prch,Cntrl Mail,Flt,Prntg,Sply</v>
      </c>
      <c r="J2145" s="412">
        <v>-2138206.4300000002</v>
      </c>
      <c r="K2145" s="385">
        <v>45798</v>
      </c>
      <c r="L2145" s="387" t="s">
        <v>3507</v>
      </c>
      <c r="M2145" s="390">
        <v>45798.645289351851</v>
      </c>
      <c r="N2145" s="368" t="s">
        <v>359</v>
      </c>
      <c r="O2145" s="368" t="s">
        <v>382</v>
      </c>
      <c r="P2145" s="367" t="str">
        <f>IF(J2145&gt;0,"Revenue",IF(J2145&lt;0,"Expense"))</f>
        <v>Expense</v>
      </c>
      <c r="Q2145" s="366" t="s">
        <v>2328</v>
      </c>
      <c r="R2145" s="366" t="s">
        <v>3508</v>
      </c>
      <c r="S2145" s="366" t="s">
        <v>2535</v>
      </c>
    </row>
    <row r="2146" spans="1:19" ht="15" hidden="1" outlineLevel="1">
      <c r="B2146" s="384">
        <v>2025</v>
      </c>
      <c r="C2146" s="384">
        <v>11</v>
      </c>
      <c r="D2146" s="367" t="s">
        <v>5</v>
      </c>
      <c r="E2146" s="367" t="s">
        <v>6</v>
      </c>
      <c r="F2146" s="389" t="s">
        <v>3506</v>
      </c>
      <c r="G2146" s="385">
        <v>45791</v>
      </c>
      <c r="H2146" s="367" t="s">
        <v>7</v>
      </c>
      <c r="I2146" s="368" t="str">
        <f>VLOOKUP(H2146,'Source Codes'!A$2:B$115,2,FALSE)</f>
        <v>HRMS Interface Journals</v>
      </c>
      <c r="J2146" s="412">
        <v>-71177816.209999993</v>
      </c>
      <c r="K2146" s="385">
        <v>45798</v>
      </c>
      <c r="L2146" s="387" t="s">
        <v>406</v>
      </c>
      <c r="M2146" s="390">
        <v>45798.327476851853</v>
      </c>
      <c r="N2146" s="368" t="s">
        <v>378</v>
      </c>
      <c r="O2146" s="368" t="s">
        <v>371</v>
      </c>
      <c r="P2146" s="367" t="str">
        <f>IF(J2146&gt;0,"Revenue",IF(J2146&lt;0,"Expense"))</f>
        <v>Expense</v>
      </c>
      <c r="Q2146" s="366" t="s">
        <v>379</v>
      </c>
      <c r="R2146" s="366" t="s">
        <v>3501</v>
      </c>
      <c r="S2146" s="366" t="s">
        <v>203</v>
      </c>
    </row>
    <row r="2147" spans="1:19" ht="12.75" customHeight="1" collapsed="1">
      <c r="J2147" s="413">
        <f>SUM(J2145:J2146)</f>
        <v>-73316022.640000001</v>
      </c>
    </row>
    <row r="2149" spans="1:19" ht="12.75" customHeight="1">
      <c r="A2149" s="378" t="s">
        <v>3509</v>
      </c>
    </row>
    <row r="2150" spans="1:19" ht="45" hidden="1" outlineLevel="1">
      <c r="B2150" s="384">
        <v>2025</v>
      </c>
      <c r="C2150" s="384">
        <v>11</v>
      </c>
      <c r="D2150" s="367" t="s">
        <v>5</v>
      </c>
      <c r="E2150" s="367" t="s">
        <v>6</v>
      </c>
      <c r="F2150" s="389" t="s">
        <v>3510</v>
      </c>
      <c r="G2150" s="385">
        <v>45798</v>
      </c>
      <c r="H2150" s="367" t="s">
        <v>11</v>
      </c>
      <c r="I2150" s="368" t="str">
        <f>VLOOKUP(H2150,'Source Codes'!A$2:B$115,2,FALSE)</f>
        <v>AR Payments</v>
      </c>
      <c r="J2150" s="412">
        <v>1313760.32</v>
      </c>
      <c r="K2150" s="385">
        <v>45799</v>
      </c>
      <c r="L2150" s="387" t="s">
        <v>3511</v>
      </c>
      <c r="M2150" s="390">
        <v>45799.752175925925</v>
      </c>
      <c r="N2150" s="368" t="s">
        <v>356</v>
      </c>
      <c r="O2150" s="368" t="s">
        <v>357</v>
      </c>
      <c r="P2150" s="367" t="str">
        <f>IF(J2150&gt;0,"Revenue",IF(J2150&lt;0,"Expense"))</f>
        <v>Revenue</v>
      </c>
      <c r="Q2150" s="366" t="s">
        <v>2157</v>
      </c>
      <c r="R2150" s="366" t="s">
        <v>2857</v>
      </c>
      <c r="S2150" s="366" t="s">
        <v>2278</v>
      </c>
    </row>
    <row r="2151" spans="1:19" ht="12.75" customHeight="1" collapsed="1">
      <c r="I2151" s="368"/>
      <c r="J2151" s="413">
        <f>SUM(J2150)</f>
        <v>1313760.32</v>
      </c>
      <c r="P2151" s="367"/>
    </row>
    <row r="2152" spans="1:19" ht="12.75" customHeight="1">
      <c r="I2152" s="368"/>
      <c r="P2152" s="367"/>
    </row>
    <row r="2153" spans="1:19" ht="12.75" customHeight="1">
      <c r="A2153" s="378" t="s">
        <v>3512</v>
      </c>
      <c r="I2153" s="368"/>
      <c r="P2153" s="367"/>
    </row>
    <row r="2154" spans="1:19" ht="30" hidden="1" outlineLevel="1">
      <c r="B2154" s="384">
        <v>2025</v>
      </c>
      <c r="C2154" s="384">
        <v>11</v>
      </c>
      <c r="D2154" s="367" t="s">
        <v>5</v>
      </c>
      <c r="E2154" s="367" t="s">
        <v>6</v>
      </c>
      <c r="F2154" s="389" t="s">
        <v>3513</v>
      </c>
      <c r="G2154" s="385">
        <v>45796</v>
      </c>
      <c r="H2154" s="367" t="s">
        <v>16</v>
      </c>
      <c r="I2154" s="368" t="str">
        <f>VLOOKUP(H2154,'Source Codes'!A$2:B$115,2,FALSE)</f>
        <v>Property Tax Interface</v>
      </c>
      <c r="J2154" s="412">
        <v>111147573.59999999</v>
      </c>
      <c r="K2154" s="385">
        <v>45800</v>
      </c>
      <c r="L2154" s="387" t="s">
        <v>3514</v>
      </c>
      <c r="M2154" s="390">
        <v>45800.661203703705</v>
      </c>
      <c r="N2154" s="368" t="s">
        <v>361</v>
      </c>
      <c r="O2154" s="368" t="s">
        <v>384</v>
      </c>
      <c r="P2154" s="367" t="str">
        <f>IF(J2154&gt;0,"Revenue",IF(J2154&lt;0,"Expense"))</f>
        <v>Revenue</v>
      </c>
      <c r="Q2154" s="366" t="s">
        <v>2199</v>
      </c>
      <c r="R2154" s="366" t="s">
        <v>3515</v>
      </c>
      <c r="S2154" s="366" t="s">
        <v>203</v>
      </c>
    </row>
    <row r="2155" spans="1:19" ht="12.75" customHeight="1" collapsed="1">
      <c r="I2155" s="368"/>
      <c r="J2155" s="413">
        <f>SUM(J2154)</f>
        <v>111147573.59999999</v>
      </c>
      <c r="P2155" s="367"/>
    </row>
    <row r="2156" spans="1:19" ht="12.75" customHeight="1">
      <c r="I2156" s="368"/>
      <c r="J2156" s="416"/>
      <c r="P2156" s="367"/>
    </row>
    <row r="2157" spans="1:19" ht="12.75" customHeight="1">
      <c r="A2157" s="378" t="s">
        <v>3516</v>
      </c>
      <c r="I2157" s="368"/>
      <c r="P2157" s="367"/>
    </row>
    <row r="2158" spans="1:19" ht="30" hidden="1" outlineLevel="1">
      <c r="B2158" s="384">
        <v>2025</v>
      </c>
      <c r="C2158" s="384">
        <v>11</v>
      </c>
      <c r="D2158" s="367" t="s">
        <v>5</v>
      </c>
      <c r="E2158" s="367" t="s">
        <v>6</v>
      </c>
      <c r="F2158" s="389" t="s">
        <v>3517</v>
      </c>
      <c r="G2158" s="385">
        <v>45799</v>
      </c>
      <c r="H2158" s="367" t="s">
        <v>11</v>
      </c>
      <c r="I2158" s="368" t="str">
        <f>VLOOKUP(H2158,'Source Codes'!A$2:B$115,2,FALSE)</f>
        <v>AR Payments</v>
      </c>
      <c r="J2158" s="412">
        <v>1800646.75</v>
      </c>
      <c r="K2158" s="385">
        <v>45804</v>
      </c>
      <c r="L2158" s="387" t="s">
        <v>3531</v>
      </c>
      <c r="M2158" s="390">
        <v>45804.75236111111</v>
      </c>
      <c r="N2158" s="368" t="s">
        <v>356</v>
      </c>
      <c r="O2158" s="368" t="s">
        <v>357</v>
      </c>
      <c r="P2158" s="367" t="str">
        <f t="shared" ref="P2158:P2163" si="28">IF(J2158&gt;0,"Revenue",IF(J2158&lt;0,"Expense"))</f>
        <v>Revenue</v>
      </c>
      <c r="Q2158" s="366" t="s">
        <v>2157</v>
      </c>
      <c r="R2158" s="366" t="s">
        <v>2857</v>
      </c>
      <c r="S2158" s="366" t="s">
        <v>3159</v>
      </c>
    </row>
    <row r="2159" spans="1:19" ht="45" hidden="1" outlineLevel="1">
      <c r="B2159" s="384">
        <v>2025</v>
      </c>
      <c r="C2159" s="384">
        <v>11</v>
      </c>
      <c r="D2159" s="367" t="s">
        <v>5</v>
      </c>
      <c r="E2159" s="367" t="s">
        <v>6</v>
      </c>
      <c r="F2159" s="389" t="s">
        <v>3518</v>
      </c>
      <c r="G2159" s="385">
        <v>45804</v>
      </c>
      <c r="H2159" s="367" t="s">
        <v>11</v>
      </c>
      <c r="I2159" s="368" t="str">
        <f>VLOOKUP(H2159,'Source Codes'!A$2:B$115,2,FALSE)</f>
        <v>AR Payments</v>
      </c>
      <c r="J2159" s="412">
        <v>5997495.8200000003</v>
      </c>
      <c r="K2159" s="385">
        <v>45804</v>
      </c>
      <c r="L2159" s="387" t="s">
        <v>3533</v>
      </c>
      <c r="M2159" s="390">
        <v>45804.75236111111</v>
      </c>
      <c r="N2159" s="368" t="s">
        <v>356</v>
      </c>
      <c r="O2159" s="368" t="s">
        <v>357</v>
      </c>
      <c r="P2159" s="367" t="str">
        <f t="shared" si="28"/>
        <v>Revenue</v>
      </c>
      <c r="Q2159" s="366" t="s">
        <v>2157</v>
      </c>
      <c r="R2159" s="366" t="s">
        <v>2857</v>
      </c>
      <c r="S2159" s="366" t="s">
        <v>2231</v>
      </c>
    </row>
    <row r="2160" spans="1:19" ht="45" hidden="1" outlineLevel="1">
      <c r="B2160" s="384">
        <v>2025</v>
      </c>
      <c r="C2160" s="384">
        <v>11</v>
      </c>
      <c r="D2160" s="367" t="s">
        <v>5</v>
      </c>
      <c r="E2160" s="367" t="s">
        <v>6</v>
      </c>
      <c r="F2160" s="389" t="s">
        <v>3519</v>
      </c>
      <c r="G2160" s="385">
        <v>45786</v>
      </c>
      <c r="H2160" s="367" t="s">
        <v>9</v>
      </c>
      <c r="I2160" s="368" t="str">
        <f>VLOOKUP(H2160,'Source Codes'!A$2:B$115,2,FALSE)</f>
        <v>On Line Journal Entries</v>
      </c>
      <c r="J2160" s="412">
        <v>26950779</v>
      </c>
      <c r="K2160" s="385">
        <v>45804</v>
      </c>
      <c r="L2160" s="387" t="s">
        <v>396</v>
      </c>
      <c r="M2160" s="390">
        <v>45804.626863425925</v>
      </c>
      <c r="N2160" s="368" t="s">
        <v>356</v>
      </c>
      <c r="O2160" s="368" t="s">
        <v>364</v>
      </c>
      <c r="P2160" s="367" t="str">
        <f t="shared" si="28"/>
        <v>Revenue</v>
      </c>
      <c r="Q2160" s="366" t="s">
        <v>2232</v>
      </c>
      <c r="R2160" s="366" t="s">
        <v>2232</v>
      </c>
      <c r="S2160" s="366" t="s">
        <v>3524</v>
      </c>
    </row>
    <row r="2161" spans="1:19" ht="30" hidden="1" outlineLevel="1">
      <c r="B2161" s="384">
        <v>2025</v>
      </c>
      <c r="C2161" s="384">
        <v>11</v>
      </c>
      <c r="D2161" s="367" t="s">
        <v>5</v>
      </c>
      <c r="E2161" s="367" t="s">
        <v>6</v>
      </c>
      <c r="F2161" s="389" t="s">
        <v>3520</v>
      </c>
      <c r="G2161" s="385">
        <v>45796</v>
      </c>
      <c r="H2161" s="367" t="s">
        <v>9</v>
      </c>
      <c r="I2161" s="368" t="str">
        <f>VLOOKUP(H2161,'Source Codes'!A$2:B$115,2,FALSE)</f>
        <v>On Line Journal Entries</v>
      </c>
      <c r="J2161" s="412">
        <v>12010340</v>
      </c>
      <c r="K2161" s="385">
        <v>45804</v>
      </c>
      <c r="L2161" s="387" t="s">
        <v>344</v>
      </c>
      <c r="M2161" s="390">
        <v>45804.87090277778</v>
      </c>
      <c r="N2161" s="368" t="s">
        <v>356</v>
      </c>
      <c r="O2161" s="368" t="s">
        <v>364</v>
      </c>
      <c r="P2161" s="367" t="str">
        <f t="shared" si="28"/>
        <v>Revenue</v>
      </c>
      <c r="Q2161" s="366" t="s">
        <v>2232</v>
      </c>
      <c r="R2161" s="366" t="s">
        <v>2232</v>
      </c>
      <c r="S2161" s="366" t="s">
        <v>3525</v>
      </c>
    </row>
    <row r="2162" spans="1:19" ht="30" hidden="1" outlineLevel="1">
      <c r="B2162" s="384">
        <v>2025</v>
      </c>
      <c r="C2162" s="384">
        <v>11</v>
      </c>
      <c r="D2162" s="367" t="s">
        <v>5</v>
      </c>
      <c r="E2162" s="367" t="s">
        <v>6</v>
      </c>
      <c r="F2162" s="389" t="s">
        <v>3521</v>
      </c>
      <c r="G2162" s="385">
        <v>45796</v>
      </c>
      <c r="H2162" s="367" t="s">
        <v>9</v>
      </c>
      <c r="I2162" s="368" t="str">
        <f>VLOOKUP(H2162,'Source Codes'!A$2:B$115,2,FALSE)</f>
        <v>On Line Journal Entries</v>
      </c>
      <c r="J2162" s="412">
        <v>7382900</v>
      </c>
      <c r="K2162" s="385">
        <v>45804</v>
      </c>
      <c r="L2162" s="387" t="s">
        <v>344</v>
      </c>
      <c r="M2162" s="390">
        <v>45804.629004629627</v>
      </c>
      <c r="N2162" s="368" t="s">
        <v>356</v>
      </c>
      <c r="O2162" s="368" t="s">
        <v>364</v>
      </c>
      <c r="P2162" s="367" t="str">
        <f t="shared" si="28"/>
        <v>Revenue</v>
      </c>
      <c r="Q2162" s="366" t="s">
        <v>2232</v>
      </c>
      <c r="R2162" s="366" t="s">
        <v>2232</v>
      </c>
      <c r="S2162" s="366">
        <v>230141</v>
      </c>
    </row>
    <row r="2163" spans="1:19" ht="30" hidden="1" outlineLevel="1">
      <c r="B2163" s="384">
        <v>2025</v>
      </c>
      <c r="C2163" s="384">
        <v>11</v>
      </c>
      <c r="D2163" s="367" t="s">
        <v>5</v>
      </c>
      <c r="E2163" s="367" t="s">
        <v>6</v>
      </c>
      <c r="F2163" s="389" t="s">
        <v>3522</v>
      </c>
      <c r="G2163" s="385">
        <v>45797</v>
      </c>
      <c r="H2163" s="367" t="s">
        <v>9</v>
      </c>
      <c r="I2163" s="368" t="str">
        <f>VLOOKUP(H2163,'Source Codes'!A$2:B$115,2,FALSE)</f>
        <v>On Line Journal Entries</v>
      </c>
      <c r="J2163" s="412">
        <v>1769534.59</v>
      </c>
      <c r="K2163" s="385">
        <v>45804</v>
      </c>
      <c r="L2163" s="387" t="s">
        <v>3523</v>
      </c>
      <c r="M2163" s="390">
        <v>45804.668993055559</v>
      </c>
      <c r="N2163" s="368" t="s">
        <v>361</v>
      </c>
      <c r="O2163" s="368" t="s">
        <v>510</v>
      </c>
      <c r="P2163" s="367" t="str">
        <f t="shared" si="28"/>
        <v>Revenue</v>
      </c>
      <c r="Q2163" s="366" t="s">
        <v>2122</v>
      </c>
      <c r="R2163" s="366" t="s">
        <v>3526</v>
      </c>
      <c r="S2163" s="366">
        <v>781100</v>
      </c>
    </row>
    <row r="2164" spans="1:19" ht="12.75" customHeight="1" collapsed="1">
      <c r="I2164" s="368"/>
      <c r="J2164" s="413">
        <f>SUM(J2158:J2163)</f>
        <v>55911696.160000004</v>
      </c>
      <c r="P2164" s="367"/>
    </row>
    <row r="2165" spans="1:19" ht="12.75" customHeight="1">
      <c r="I2165" s="368"/>
      <c r="P2165" s="367"/>
    </row>
    <row r="2166" spans="1:19" ht="12.75" customHeight="1">
      <c r="A2166" s="378" t="s">
        <v>3527</v>
      </c>
      <c r="I2166" s="368"/>
      <c r="P2166" s="367"/>
    </row>
    <row r="2167" spans="1:19" ht="30" hidden="1" outlineLevel="1">
      <c r="B2167" s="384">
        <v>2025</v>
      </c>
      <c r="C2167" s="384">
        <v>11</v>
      </c>
      <c r="D2167" s="367" t="s">
        <v>5</v>
      </c>
      <c r="E2167" s="367" t="s">
        <v>6</v>
      </c>
      <c r="F2167" s="389" t="s">
        <v>3528</v>
      </c>
      <c r="G2167" s="385">
        <v>45804</v>
      </c>
      <c r="H2167" s="367" t="s">
        <v>12</v>
      </c>
      <c r="I2167" s="368" t="str">
        <f>VLOOKUP(H2167,'Source Codes'!A$2:B$115,2,FALSE)</f>
        <v>AR Direct Cash Journal</v>
      </c>
      <c r="J2167" s="412">
        <v>-176549279.59</v>
      </c>
      <c r="K2167" s="385">
        <v>45805</v>
      </c>
      <c r="L2167" s="387" t="s">
        <v>3532</v>
      </c>
      <c r="M2167" s="390">
        <v>45805.752222222225</v>
      </c>
      <c r="N2167" s="368" t="s">
        <v>3455</v>
      </c>
      <c r="O2167" s="368" t="s">
        <v>358</v>
      </c>
      <c r="P2167" s="367" t="str">
        <f>IF(J2167&gt;0,"Revenue",IF(J2167&lt;0,"Expense"))</f>
        <v>Expense</v>
      </c>
      <c r="Q2167" s="366" t="s">
        <v>2616</v>
      </c>
      <c r="R2167" s="366" t="s">
        <v>2617</v>
      </c>
      <c r="S2167" s="366">
        <v>101500</v>
      </c>
    </row>
    <row r="2168" spans="1:19" ht="60" hidden="1" outlineLevel="1">
      <c r="B2168" s="384">
        <v>2025</v>
      </c>
      <c r="C2168" s="384">
        <v>11</v>
      </c>
      <c r="D2168" s="367" t="s">
        <v>5</v>
      </c>
      <c r="E2168" s="367" t="s">
        <v>6</v>
      </c>
      <c r="F2168" s="389" t="s">
        <v>3529</v>
      </c>
      <c r="G2168" s="385">
        <v>45804</v>
      </c>
      <c r="H2168" s="367" t="s">
        <v>12</v>
      </c>
      <c r="I2168" s="368" t="str">
        <f>VLOOKUP(H2168,'Source Codes'!A$2:B$115,2,FALSE)</f>
        <v>AR Direct Cash Journal</v>
      </c>
      <c r="J2168" s="412">
        <v>1222393.6599999999</v>
      </c>
      <c r="K2168" s="385">
        <v>45805</v>
      </c>
      <c r="L2168" s="387" t="s">
        <v>3537</v>
      </c>
      <c r="M2168" s="390">
        <v>45805.752222222225</v>
      </c>
      <c r="N2168" s="368" t="s">
        <v>356</v>
      </c>
      <c r="O2168" s="368" t="s">
        <v>370</v>
      </c>
      <c r="P2168" s="367" t="str">
        <f>IF(J2168&gt;0,"Revenue",IF(J2168&lt;0,"Expense"))</f>
        <v>Revenue</v>
      </c>
      <c r="Q2168" s="366" t="s">
        <v>2264</v>
      </c>
      <c r="R2168" s="366" t="s">
        <v>2265</v>
      </c>
      <c r="S2168" s="366" t="s">
        <v>3534</v>
      </c>
    </row>
    <row r="2169" spans="1:19" ht="30" hidden="1" outlineLevel="1">
      <c r="B2169" s="384">
        <v>2025</v>
      </c>
      <c r="C2169" s="384">
        <v>11</v>
      </c>
      <c r="D2169" s="367" t="s">
        <v>5</v>
      </c>
      <c r="E2169" s="367" t="s">
        <v>6</v>
      </c>
      <c r="F2169" s="389" t="s">
        <v>3530</v>
      </c>
      <c r="G2169" s="385">
        <v>45805</v>
      </c>
      <c r="H2169" s="367" t="s">
        <v>12</v>
      </c>
      <c r="I2169" s="368" t="str">
        <f>VLOOKUP(H2169,'Source Codes'!A$2:B$115,2,FALSE)</f>
        <v>AR Direct Cash Journal</v>
      </c>
      <c r="J2169" s="412">
        <v>8156591.3099999996</v>
      </c>
      <c r="K2169" s="385">
        <v>45805</v>
      </c>
      <c r="L2169" s="387" t="s">
        <v>3536</v>
      </c>
      <c r="M2169" s="390">
        <v>45805.752222222225</v>
      </c>
      <c r="N2169" s="368" t="s">
        <v>356</v>
      </c>
      <c r="O2169" s="368" t="s">
        <v>371</v>
      </c>
      <c r="P2169" s="367" t="str">
        <f>IF(J2169&gt;0,"Revenue",IF(J2169&lt;0,"Expense"))</f>
        <v>Revenue</v>
      </c>
      <c r="Q2169" s="366" t="s">
        <v>2346</v>
      </c>
      <c r="R2169" s="366" t="s">
        <v>3425</v>
      </c>
      <c r="S2169" s="366" t="s">
        <v>3535</v>
      </c>
    </row>
    <row r="2170" spans="1:19" ht="15" collapsed="1">
      <c r="B2170" s="384"/>
      <c r="C2170" s="384"/>
      <c r="D2170" s="367"/>
      <c r="E2170" s="367"/>
      <c r="F2170" s="389"/>
      <c r="G2170" s="385"/>
      <c r="H2170" s="367"/>
      <c r="I2170" s="368"/>
      <c r="J2170" s="413">
        <f>SUM(J2167:J2169)</f>
        <v>-167170294.62</v>
      </c>
      <c r="K2170" s="385"/>
      <c r="L2170" s="387"/>
      <c r="M2170" s="390"/>
      <c r="N2170" s="368"/>
      <c r="O2170" s="368"/>
      <c r="P2170" s="367"/>
      <c r="Q2170" s="366"/>
      <c r="R2170" s="366"/>
      <c r="S2170" s="366"/>
    </row>
    <row r="2171" spans="1:19" ht="12.75" customHeight="1">
      <c r="I2171" s="368"/>
      <c r="P2171" s="367"/>
    </row>
    <row r="2172" spans="1:19" ht="12.75" customHeight="1">
      <c r="A2172" s="378" t="s">
        <v>3538</v>
      </c>
      <c r="I2172" s="368"/>
      <c r="P2172" s="367"/>
    </row>
    <row r="2173" spans="1:19" ht="30" hidden="1" outlineLevel="1">
      <c r="B2173" s="384">
        <v>2025</v>
      </c>
      <c r="C2173" s="384">
        <v>12</v>
      </c>
      <c r="D2173" s="367" t="s">
        <v>5</v>
      </c>
      <c r="E2173" s="367" t="s">
        <v>6</v>
      </c>
      <c r="F2173" s="389" t="s">
        <v>3539</v>
      </c>
      <c r="G2173" s="385">
        <v>45810</v>
      </c>
      <c r="H2173" s="367" t="s">
        <v>14</v>
      </c>
      <c r="I2173" s="368" t="str">
        <f>VLOOKUP(H2173,'Source Codes'!A$2:B$115,2,FALSE)</f>
        <v>AP Warrant Issuance</v>
      </c>
      <c r="J2173" s="412">
        <v>-2374925.3199999998</v>
      </c>
      <c r="K2173" s="385">
        <v>45806</v>
      </c>
      <c r="L2173" s="387" t="s">
        <v>3549</v>
      </c>
      <c r="M2173" s="390">
        <v>45806.793807870374</v>
      </c>
      <c r="N2173" s="368" t="s">
        <v>356</v>
      </c>
      <c r="O2173" s="368" t="s">
        <v>368</v>
      </c>
      <c r="P2173" s="367" t="str">
        <f t="shared" ref="P2173:P2179" si="29">IF(J2173&gt;0,"Revenue",IF(J2173&lt;0,"Expense"))</f>
        <v>Expense</v>
      </c>
      <c r="Q2173" s="366" t="s">
        <v>2154</v>
      </c>
      <c r="R2173" s="366" t="s">
        <v>2154</v>
      </c>
      <c r="S2173" s="366" t="s">
        <v>3550</v>
      </c>
    </row>
    <row r="2174" spans="1:19" ht="45" hidden="1" outlineLevel="1">
      <c r="B2174" s="384">
        <v>2025</v>
      </c>
      <c r="C2174" s="384">
        <v>11</v>
      </c>
      <c r="D2174" s="367" t="s">
        <v>5</v>
      </c>
      <c r="E2174" s="367" t="s">
        <v>6</v>
      </c>
      <c r="F2174" s="389" t="s">
        <v>3540</v>
      </c>
      <c r="G2174" s="385">
        <v>45799</v>
      </c>
      <c r="H2174" s="367" t="s">
        <v>11</v>
      </c>
      <c r="I2174" s="368" t="str">
        <f>VLOOKUP(H2174,'Source Codes'!A$2:B$115,2,FALSE)</f>
        <v>AR Payments</v>
      </c>
      <c r="J2174" s="412">
        <v>1437435.4</v>
      </c>
      <c r="K2174" s="385">
        <v>45806</v>
      </c>
      <c r="L2174" s="387" t="s">
        <v>3551</v>
      </c>
      <c r="M2174" s="390">
        <v>45806.752581018518</v>
      </c>
      <c r="N2174" s="368" t="s">
        <v>356</v>
      </c>
      <c r="O2174" s="368" t="s">
        <v>357</v>
      </c>
      <c r="P2174" s="367" t="str">
        <f t="shared" si="29"/>
        <v>Revenue</v>
      </c>
      <c r="Q2174" s="366" t="s">
        <v>2157</v>
      </c>
      <c r="R2174" s="366" t="s">
        <v>2857</v>
      </c>
      <c r="S2174" s="366" t="s">
        <v>3159</v>
      </c>
    </row>
    <row r="2175" spans="1:19" ht="60" hidden="1" outlineLevel="1">
      <c r="B2175" s="384">
        <v>2025</v>
      </c>
      <c r="C2175" s="384">
        <v>11</v>
      </c>
      <c r="D2175" s="367" t="s">
        <v>5</v>
      </c>
      <c r="E2175" s="367" t="s">
        <v>6</v>
      </c>
      <c r="F2175" s="389" t="s">
        <v>3541</v>
      </c>
      <c r="G2175" s="385">
        <v>45805</v>
      </c>
      <c r="H2175" s="367" t="s">
        <v>11</v>
      </c>
      <c r="I2175" s="368" t="str">
        <f>VLOOKUP(H2175,'Source Codes'!A$2:B$115,2,FALSE)</f>
        <v>AR Payments</v>
      </c>
      <c r="J2175" s="412">
        <v>2251891.19</v>
      </c>
      <c r="K2175" s="385">
        <v>45806</v>
      </c>
      <c r="L2175" s="387" t="s">
        <v>3552</v>
      </c>
      <c r="M2175" s="390">
        <v>45806.752581018518</v>
      </c>
      <c r="N2175" s="368" t="s">
        <v>356</v>
      </c>
      <c r="O2175" s="368" t="s">
        <v>357</v>
      </c>
      <c r="P2175" s="367" t="str">
        <f t="shared" si="29"/>
        <v>Revenue</v>
      </c>
      <c r="Q2175" s="366" t="s">
        <v>2157</v>
      </c>
      <c r="R2175" s="366" t="s">
        <v>2857</v>
      </c>
      <c r="S2175" s="366" t="s">
        <v>2231</v>
      </c>
    </row>
    <row r="2176" spans="1:19" ht="30" hidden="1" outlineLevel="1">
      <c r="B2176" s="384">
        <v>2025</v>
      </c>
      <c r="C2176" s="384">
        <v>11</v>
      </c>
      <c r="D2176" s="367" t="s">
        <v>5</v>
      </c>
      <c r="E2176" s="367" t="s">
        <v>6</v>
      </c>
      <c r="F2176" s="389" t="s">
        <v>3542</v>
      </c>
      <c r="G2176" s="385">
        <v>45796</v>
      </c>
      <c r="H2176" s="367" t="s">
        <v>9</v>
      </c>
      <c r="I2176" s="368" t="str">
        <f>VLOOKUP(H2176,'Source Codes'!A$2:B$115,2,FALSE)</f>
        <v>On Line Journal Entries</v>
      </c>
      <c r="J2176" s="412">
        <v>10365100</v>
      </c>
      <c r="K2176" s="385">
        <v>45806</v>
      </c>
      <c r="L2176" s="387" t="s">
        <v>344</v>
      </c>
      <c r="M2176" s="390">
        <v>45806.588090277779</v>
      </c>
      <c r="N2176" s="368" t="s">
        <v>356</v>
      </c>
      <c r="O2176" s="368" t="s">
        <v>364</v>
      </c>
      <c r="P2176" s="367" t="str">
        <f t="shared" si="29"/>
        <v>Revenue</v>
      </c>
      <c r="Q2176" s="366" t="s">
        <v>2232</v>
      </c>
      <c r="R2176" s="366" t="s">
        <v>2232</v>
      </c>
      <c r="S2176" s="366">
        <v>230141</v>
      </c>
    </row>
    <row r="2177" spans="1:19" ht="30" hidden="1" outlineLevel="1">
      <c r="B2177" s="384">
        <v>2025</v>
      </c>
      <c r="C2177" s="384">
        <v>11</v>
      </c>
      <c r="D2177" s="367" t="s">
        <v>5</v>
      </c>
      <c r="E2177" s="367" t="s">
        <v>6</v>
      </c>
      <c r="F2177" s="389" t="s">
        <v>3543</v>
      </c>
      <c r="G2177" s="385">
        <v>45791</v>
      </c>
      <c r="H2177" s="367" t="s">
        <v>9</v>
      </c>
      <c r="I2177" s="368" t="str">
        <f>VLOOKUP(H2177,'Source Codes'!A$2:B$115,2,FALSE)</f>
        <v>On Line Journal Entries</v>
      </c>
      <c r="J2177" s="412">
        <v>-1200000</v>
      </c>
      <c r="K2177" s="385">
        <v>45806</v>
      </c>
      <c r="L2177" s="387" t="s">
        <v>3546</v>
      </c>
      <c r="M2177" s="390">
        <v>45806.37263888889</v>
      </c>
      <c r="N2177" s="368" t="s">
        <v>3553</v>
      </c>
      <c r="O2177" s="368" t="s">
        <v>504</v>
      </c>
      <c r="P2177" s="367" t="str">
        <f t="shared" si="29"/>
        <v>Expense</v>
      </c>
      <c r="Q2177" s="366" t="s">
        <v>3554</v>
      </c>
      <c r="R2177" s="366" t="s">
        <v>3555</v>
      </c>
      <c r="S2177" s="366">
        <v>52440</v>
      </c>
    </row>
    <row r="2178" spans="1:19" ht="15" hidden="1" outlineLevel="1">
      <c r="B2178" s="384">
        <v>2025</v>
      </c>
      <c r="C2178" s="384">
        <v>11</v>
      </c>
      <c r="D2178" s="367" t="s">
        <v>5</v>
      </c>
      <c r="E2178" s="367" t="s">
        <v>6</v>
      </c>
      <c r="F2178" s="389" t="s">
        <v>3544</v>
      </c>
      <c r="G2178" s="385">
        <v>45779</v>
      </c>
      <c r="H2178" s="367" t="s">
        <v>337</v>
      </c>
      <c r="I2178" s="368" t="str">
        <f>VLOOKUP(H2178,'Source Codes'!A$2:B$115,2,FALSE)</f>
        <v>Facilities Mngmnt Intfc Jrnls</v>
      </c>
      <c r="J2178" s="412">
        <v>-2365294.6</v>
      </c>
      <c r="K2178" s="385">
        <v>45806</v>
      </c>
      <c r="L2178" s="387" t="s">
        <v>3547</v>
      </c>
      <c r="M2178" s="390">
        <v>45806.622557870367</v>
      </c>
      <c r="N2178" s="368" t="s">
        <v>356</v>
      </c>
      <c r="O2178" s="368" t="s">
        <v>367</v>
      </c>
      <c r="P2178" s="367" t="str">
        <f t="shared" si="29"/>
        <v>Expense</v>
      </c>
      <c r="Q2178" s="366" t="s">
        <v>2337</v>
      </c>
      <c r="R2178" s="366" t="s">
        <v>3556</v>
      </c>
      <c r="S2178" s="366">
        <v>522385</v>
      </c>
    </row>
    <row r="2179" spans="1:19" ht="30" hidden="1" outlineLevel="1">
      <c r="B2179" s="384">
        <v>2025</v>
      </c>
      <c r="C2179" s="384">
        <v>11</v>
      </c>
      <c r="D2179" s="367" t="s">
        <v>5</v>
      </c>
      <c r="E2179" s="367" t="s">
        <v>6</v>
      </c>
      <c r="F2179" s="389" t="s">
        <v>3545</v>
      </c>
      <c r="G2179" s="385">
        <v>45797</v>
      </c>
      <c r="H2179" s="367" t="s">
        <v>337</v>
      </c>
      <c r="I2179" s="368" t="str">
        <f>VLOOKUP(H2179,'Source Codes'!A$2:B$115,2,FALSE)</f>
        <v>Facilities Mngmnt Intfc Jrnls</v>
      </c>
      <c r="J2179" s="412">
        <v>-4459729.04</v>
      </c>
      <c r="K2179" s="385">
        <v>45806</v>
      </c>
      <c r="L2179" s="387" t="s">
        <v>3548</v>
      </c>
      <c r="M2179" s="390">
        <v>45806.587476851855</v>
      </c>
      <c r="N2179" s="368" t="s">
        <v>356</v>
      </c>
      <c r="O2179" s="368" t="s">
        <v>367</v>
      </c>
      <c r="P2179" s="367" t="str">
        <f t="shared" si="29"/>
        <v>Expense</v>
      </c>
      <c r="Q2179" s="366" t="s">
        <v>2237</v>
      </c>
      <c r="R2179" s="366" t="s">
        <v>3557</v>
      </c>
      <c r="S2179" s="366" t="s">
        <v>2239</v>
      </c>
    </row>
    <row r="2180" spans="1:19" ht="12.75" customHeight="1" collapsed="1">
      <c r="I2180" s="368"/>
      <c r="J2180" s="413">
        <f>SUM(J2173:J2179)</f>
        <v>3654477.63</v>
      </c>
      <c r="P2180" s="367"/>
    </row>
    <row r="2181" spans="1:19" ht="12.75" customHeight="1">
      <c r="I2181" s="368"/>
      <c r="P2181" s="367"/>
    </row>
    <row r="2182" spans="1:19" ht="12.75" customHeight="1">
      <c r="A2182" s="378" t="s">
        <v>3558</v>
      </c>
      <c r="I2182" s="368"/>
      <c r="P2182" s="367"/>
    </row>
    <row r="2183" spans="1:19" ht="92.1" hidden="1" customHeight="1" outlineLevel="1">
      <c r="B2183" s="384">
        <v>2025</v>
      </c>
      <c r="C2183" s="384">
        <v>11</v>
      </c>
      <c r="D2183" s="367" t="s">
        <v>5</v>
      </c>
      <c r="E2183" s="367" t="s">
        <v>6</v>
      </c>
      <c r="F2183" s="389" t="s">
        <v>3559</v>
      </c>
      <c r="G2183" s="385">
        <v>45805</v>
      </c>
      <c r="H2183" s="367" t="s">
        <v>12</v>
      </c>
      <c r="I2183" s="368" t="str">
        <f>VLOOKUP(H2183,'Source Codes'!A$2:B$115,2,FALSE)</f>
        <v>AR Direct Cash Journal</v>
      </c>
      <c r="J2183" s="420">
        <v>1018829.92</v>
      </c>
      <c r="K2183" s="385">
        <v>45807</v>
      </c>
      <c r="L2183" s="387" t="s">
        <v>3572</v>
      </c>
      <c r="M2183" s="390">
        <v>45807.752222222225</v>
      </c>
      <c r="N2183" s="368" t="s">
        <v>356</v>
      </c>
      <c r="O2183" s="368" t="s">
        <v>390</v>
      </c>
      <c r="P2183" s="367" t="str">
        <f t="shared" ref="P2183:P2189" si="30">IF(J2183&gt;0,"Revenue",IF(J2183&lt;0,"Expense"))</f>
        <v>Revenue</v>
      </c>
      <c r="Q2183" s="366" t="s">
        <v>3571</v>
      </c>
      <c r="R2183" s="366" t="s">
        <v>3581</v>
      </c>
      <c r="S2183" s="366" t="s">
        <v>3573</v>
      </c>
    </row>
    <row r="2184" spans="1:19" ht="45" hidden="1" outlineLevel="1">
      <c r="B2184" s="384">
        <v>2025</v>
      </c>
      <c r="C2184" s="384">
        <v>11</v>
      </c>
      <c r="D2184" s="367" t="s">
        <v>5</v>
      </c>
      <c r="E2184" s="367" t="s">
        <v>6</v>
      </c>
      <c r="F2184" s="389" t="s">
        <v>3560</v>
      </c>
      <c r="G2184" s="385">
        <v>45807</v>
      </c>
      <c r="H2184" s="367" t="s">
        <v>12</v>
      </c>
      <c r="I2184" s="368" t="str">
        <f>VLOOKUP(H2184,'Source Codes'!A$2:B$115,2,FALSE)</f>
        <v>AR Direct Cash Journal</v>
      </c>
      <c r="J2184" s="412">
        <v>25602199.73</v>
      </c>
      <c r="K2184" s="385">
        <v>45807</v>
      </c>
      <c r="L2184" s="387" t="s">
        <v>3574</v>
      </c>
      <c r="M2184" s="390">
        <v>45807.752222222225</v>
      </c>
      <c r="N2184" s="368" t="s">
        <v>356</v>
      </c>
      <c r="O2184" s="368" t="s">
        <v>368</v>
      </c>
      <c r="P2184" s="367" t="str">
        <f t="shared" si="30"/>
        <v>Revenue</v>
      </c>
      <c r="Q2184" s="366" t="s">
        <v>2177</v>
      </c>
      <c r="R2184" s="366" t="s">
        <v>2214</v>
      </c>
      <c r="S2184" s="366" t="s">
        <v>203</v>
      </c>
    </row>
    <row r="2185" spans="1:19" ht="30" hidden="1" outlineLevel="1">
      <c r="B2185" s="384">
        <v>2025</v>
      </c>
      <c r="C2185" s="384">
        <v>11</v>
      </c>
      <c r="D2185" s="367" t="s">
        <v>5</v>
      </c>
      <c r="E2185" s="367" t="s">
        <v>6</v>
      </c>
      <c r="F2185" s="389" t="s">
        <v>3561</v>
      </c>
      <c r="G2185" s="385">
        <v>45804</v>
      </c>
      <c r="H2185" s="367" t="s">
        <v>9</v>
      </c>
      <c r="I2185" s="368" t="str">
        <f>VLOOKUP(H2185,'Source Codes'!A$2:B$115,2,FALSE)</f>
        <v>On Line Journal Entries</v>
      </c>
      <c r="J2185" s="412">
        <v>28710292.920000002</v>
      </c>
      <c r="K2185" s="385">
        <v>45807</v>
      </c>
      <c r="L2185" s="387" t="s">
        <v>3565</v>
      </c>
      <c r="M2185" s="390">
        <v>45807.870081018518</v>
      </c>
      <c r="N2185" s="368" t="s">
        <v>356</v>
      </c>
      <c r="O2185" s="368" t="s">
        <v>371</v>
      </c>
      <c r="P2185" s="367" t="str">
        <f t="shared" si="30"/>
        <v>Revenue</v>
      </c>
      <c r="Q2185" s="366" t="s">
        <v>2158</v>
      </c>
      <c r="R2185" s="366" t="s">
        <v>3575</v>
      </c>
      <c r="S2185" s="366">
        <v>755120</v>
      </c>
    </row>
    <row r="2186" spans="1:19" ht="45" hidden="1" outlineLevel="1">
      <c r="B2186" s="384">
        <v>2025</v>
      </c>
      <c r="C2186" s="384">
        <v>11</v>
      </c>
      <c r="D2186" s="367" t="s">
        <v>5</v>
      </c>
      <c r="E2186" s="367" t="s">
        <v>6</v>
      </c>
      <c r="F2186" s="389" t="s">
        <v>3562</v>
      </c>
      <c r="G2186" s="385">
        <v>45804</v>
      </c>
      <c r="H2186" s="367" t="s">
        <v>9</v>
      </c>
      <c r="I2186" s="368" t="str">
        <f>VLOOKUP(H2186,'Source Codes'!A$2:B$115,2,FALSE)</f>
        <v>On Line Journal Entries</v>
      </c>
      <c r="J2186" s="412">
        <v>10872111.9</v>
      </c>
      <c r="K2186" s="385">
        <v>45807</v>
      </c>
      <c r="L2186" s="387" t="s">
        <v>3566</v>
      </c>
      <c r="M2186" s="390">
        <v>45807.870081018518</v>
      </c>
      <c r="N2186" s="368" t="s">
        <v>356</v>
      </c>
      <c r="O2186" s="368" t="s">
        <v>371</v>
      </c>
      <c r="P2186" s="367" t="str">
        <f t="shared" si="30"/>
        <v>Revenue</v>
      </c>
      <c r="Q2186" s="366" t="s">
        <v>2427</v>
      </c>
      <c r="R2186" s="366" t="s">
        <v>3576</v>
      </c>
      <c r="S2186" s="366" t="s">
        <v>2160</v>
      </c>
    </row>
    <row r="2187" spans="1:19" ht="60" hidden="1" outlineLevel="1">
      <c r="B2187" s="384">
        <v>2025</v>
      </c>
      <c r="C2187" s="384">
        <v>11</v>
      </c>
      <c r="D2187" s="367" t="s">
        <v>5</v>
      </c>
      <c r="E2187" s="367" t="s">
        <v>6</v>
      </c>
      <c r="F2187" s="389" t="s">
        <v>3563</v>
      </c>
      <c r="G2187" s="385">
        <v>45804</v>
      </c>
      <c r="H2187" s="367" t="s">
        <v>9</v>
      </c>
      <c r="I2187" s="368" t="str">
        <f>VLOOKUP(H2187,'Source Codes'!A$2:B$115,2,FALSE)</f>
        <v>On Line Journal Entries</v>
      </c>
      <c r="J2187" s="412">
        <v>3348859.09</v>
      </c>
      <c r="K2187" s="385">
        <v>45807</v>
      </c>
      <c r="L2187" s="387" t="s">
        <v>3567</v>
      </c>
      <c r="M2187" s="390">
        <v>45807.870081018518</v>
      </c>
      <c r="N2187" s="368" t="s">
        <v>356</v>
      </c>
      <c r="O2187" s="368" t="s">
        <v>371</v>
      </c>
      <c r="P2187" s="367" t="str">
        <f t="shared" si="30"/>
        <v>Revenue</v>
      </c>
      <c r="Q2187" s="366" t="s">
        <v>3577</v>
      </c>
      <c r="R2187" s="366" t="s">
        <v>3578</v>
      </c>
      <c r="S2187" s="366">
        <v>750900</v>
      </c>
    </row>
    <row r="2188" spans="1:19" ht="15" hidden="1" outlineLevel="1">
      <c r="B2188" s="384">
        <v>2025</v>
      </c>
      <c r="C2188" s="384">
        <v>11</v>
      </c>
      <c r="D2188" s="367" t="s">
        <v>5</v>
      </c>
      <c r="E2188" s="367" t="s">
        <v>6</v>
      </c>
      <c r="F2188" s="389" t="s">
        <v>3564</v>
      </c>
      <c r="G2188" s="385">
        <v>45804</v>
      </c>
      <c r="H2188" s="367" t="s">
        <v>9</v>
      </c>
      <c r="I2188" s="368" t="str">
        <f>VLOOKUP(H2188,'Source Codes'!A$2:B$115,2,FALSE)</f>
        <v>On Line Journal Entries</v>
      </c>
      <c r="J2188" s="412">
        <v>2018317.9</v>
      </c>
      <c r="K2188" s="385">
        <v>45807</v>
      </c>
      <c r="L2188" s="387" t="s">
        <v>3568</v>
      </c>
      <c r="M2188" s="390">
        <v>45807.870081018518</v>
      </c>
      <c r="N2188" s="368" t="s">
        <v>356</v>
      </c>
      <c r="O2188" s="368" t="s">
        <v>371</v>
      </c>
      <c r="P2188" s="367" t="str">
        <f t="shared" si="30"/>
        <v>Revenue</v>
      </c>
      <c r="Q2188" s="366" t="s">
        <v>2164</v>
      </c>
      <c r="R2188" s="393">
        <v>45778</v>
      </c>
      <c r="S2188" s="366">
        <v>755909</v>
      </c>
    </row>
    <row r="2189" spans="1:19" ht="30" hidden="1" outlineLevel="1">
      <c r="B2189" s="384">
        <v>2025</v>
      </c>
      <c r="C2189" s="384">
        <v>11</v>
      </c>
      <c r="D2189" s="367" t="s">
        <v>5</v>
      </c>
      <c r="E2189" s="367" t="s">
        <v>6</v>
      </c>
      <c r="F2189" s="389" t="s">
        <v>3569</v>
      </c>
      <c r="G2189" s="385">
        <v>45804</v>
      </c>
      <c r="H2189" s="367" t="s">
        <v>9</v>
      </c>
      <c r="I2189" s="368" t="str">
        <f>VLOOKUP(H2189,'Source Codes'!A$2:B$115,2,FALSE)</f>
        <v>On Line Journal Entries</v>
      </c>
      <c r="J2189" s="412">
        <v>-2788357.37</v>
      </c>
      <c r="K2189" s="385">
        <v>45807</v>
      </c>
      <c r="L2189" s="387" t="s">
        <v>3570</v>
      </c>
      <c r="M2189" s="390">
        <v>45807.870081018518</v>
      </c>
      <c r="N2189" s="368" t="s">
        <v>356</v>
      </c>
      <c r="O2189" s="368" t="s">
        <v>371</v>
      </c>
      <c r="P2189" s="367" t="str">
        <f t="shared" si="30"/>
        <v>Expense</v>
      </c>
      <c r="Q2189" s="366" t="s">
        <v>3579</v>
      </c>
      <c r="R2189" s="366" t="s">
        <v>3580</v>
      </c>
      <c r="S2189" s="366" t="s">
        <v>2166</v>
      </c>
    </row>
    <row r="2190" spans="1:19" ht="12.75" customHeight="1" collapsed="1">
      <c r="I2190" s="368"/>
      <c r="J2190" s="413">
        <f>SUM(J2183:J2189)</f>
        <v>68782254.090000004</v>
      </c>
      <c r="P2190" s="367"/>
    </row>
    <row r="2191" spans="1:19" ht="12.75" customHeight="1">
      <c r="I2191" s="368"/>
      <c r="P2191" s="367"/>
    </row>
    <row r="2192" spans="1:19" ht="12.75" customHeight="1">
      <c r="A2192" s="378" t="s">
        <v>3582</v>
      </c>
      <c r="I2192" s="368"/>
      <c r="P2192" s="367"/>
    </row>
    <row r="2193" spans="1:19" ht="30" hidden="1" outlineLevel="1">
      <c r="B2193" s="384">
        <v>2025</v>
      </c>
      <c r="C2193" s="384">
        <v>12</v>
      </c>
      <c r="D2193" s="367" t="s">
        <v>5</v>
      </c>
      <c r="E2193" s="367" t="s">
        <v>6</v>
      </c>
      <c r="F2193" s="389" t="s">
        <v>3583</v>
      </c>
      <c r="G2193" s="385">
        <v>45812</v>
      </c>
      <c r="H2193" s="367" t="s">
        <v>14</v>
      </c>
      <c r="I2193" s="368" t="str">
        <f>VLOOKUP(H2193,'Source Codes'!A$2:B$115,2,FALSE)</f>
        <v>AP Warrant Issuance</v>
      </c>
      <c r="J2193" s="412">
        <v>-1921266.37</v>
      </c>
      <c r="K2193" s="385">
        <v>45810</v>
      </c>
      <c r="L2193" s="387" t="s">
        <v>3584</v>
      </c>
      <c r="M2193" s="390">
        <v>45810.793761574074</v>
      </c>
      <c r="N2193" s="368" t="s">
        <v>356</v>
      </c>
      <c r="O2193" s="368" t="s">
        <v>368</v>
      </c>
      <c r="P2193" s="367" t="str">
        <f t="shared" ref="P2193:P2198" si="31">IF(J2193&gt;0,"Revenue",IF(J2193&lt;0,"Expense"))</f>
        <v>Expense</v>
      </c>
      <c r="Q2193" s="366" t="s">
        <v>2154</v>
      </c>
      <c r="R2193" s="366" t="s">
        <v>2154</v>
      </c>
      <c r="S2193" s="366">
        <v>201101</v>
      </c>
    </row>
    <row r="2194" spans="1:19" ht="30" hidden="1" outlineLevel="1">
      <c r="B2194" s="384">
        <v>2025</v>
      </c>
      <c r="C2194" s="384">
        <v>11</v>
      </c>
      <c r="D2194" s="367" t="s">
        <v>5</v>
      </c>
      <c r="E2194" s="367" t="s">
        <v>6</v>
      </c>
      <c r="F2194" s="389" t="s">
        <v>3585</v>
      </c>
      <c r="G2194" s="385">
        <v>45799</v>
      </c>
      <c r="H2194" s="367" t="s">
        <v>9</v>
      </c>
      <c r="I2194" s="368" t="str">
        <f>VLOOKUP(H2194,'Source Codes'!A$2:B$115,2,FALSE)</f>
        <v>On Line Journal Entries</v>
      </c>
      <c r="J2194" s="412">
        <v>196042195</v>
      </c>
      <c r="K2194" s="385">
        <v>45810</v>
      </c>
      <c r="L2194" s="387" t="s">
        <v>3592</v>
      </c>
      <c r="M2194" s="390">
        <v>45810.453356481485</v>
      </c>
      <c r="N2194" s="368" t="s">
        <v>377</v>
      </c>
      <c r="O2194" s="368" t="s">
        <v>371</v>
      </c>
      <c r="P2194" s="367" t="str">
        <f t="shared" si="31"/>
        <v>Revenue</v>
      </c>
      <c r="Q2194" s="366" t="s">
        <v>2716</v>
      </c>
      <c r="R2194" s="366" t="s">
        <v>3593</v>
      </c>
      <c r="S2194" s="366">
        <v>750200</v>
      </c>
    </row>
    <row r="2195" spans="1:19" ht="30" hidden="1" outlineLevel="1">
      <c r="B2195" s="384">
        <v>2025</v>
      </c>
      <c r="C2195" s="384">
        <v>11</v>
      </c>
      <c r="D2195" s="367" t="s">
        <v>5</v>
      </c>
      <c r="E2195" s="367" t="s">
        <v>6</v>
      </c>
      <c r="F2195" s="389" t="s">
        <v>3586</v>
      </c>
      <c r="G2195" s="385">
        <v>45796</v>
      </c>
      <c r="H2195" s="367" t="s">
        <v>9</v>
      </c>
      <c r="I2195" s="368" t="str">
        <f>VLOOKUP(H2195,'Source Codes'!A$2:B$115,2,FALSE)</f>
        <v>On Line Journal Entries</v>
      </c>
      <c r="J2195" s="412">
        <v>26242935</v>
      </c>
      <c r="K2195" s="385">
        <v>45810</v>
      </c>
      <c r="L2195" s="387" t="s">
        <v>344</v>
      </c>
      <c r="M2195" s="390">
        <v>45810.440405092595</v>
      </c>
      <c r="N2195" s="368" t="s">
        <v>356</v>
      </c>
      <c r="O2195" s="368" t="s">
        <v>364</v>
      </c>
      <c r="P2195" s="367" t="str">
        <f t="shared" si="31"/>
        <v>Revenue</v>
      </c>
      <c r="Q2195" s="366" t="s">
        <v>2232</v>
      </c>
      <c r="R2195" s="366" t="s">
        <v>2232</v>
      </c>
      <c r="S2195" s="366" t="s">
        <v>3587</v>
      </c>
    </row>
    <row r="2196" spans="1:19" ht="15" hidden="1" outlineLevel="1">
      <c r="B2196" s="384">
        <v>2025</v>
      </c>
      <c r="C2196" s="384">
        <v>11</v>
      </c>
      <c r="D2196" s="367" t="s">
        <v>5</v>
      </c>
      <c r="E2196" s="367" t="s">
        <v>6</v>
      </c>
      <c r="F2196" s="389" t="s">
        <v>3588</v>
      </c>
      <c r="G2196" s="385">
        <v>45806</v>
      </c>
      <c r="H2196" s="367" t="s">
        <v>7</v>
      </c>
      <c r="I2196" s="368" t="str">
        <f>VLOOKUP(H2196,'Source Codes'!A$2:B$115,2,FALSE)</f>
        <v>HRMS Interface Journals</v>
      </c>
      <c r="J2196" s="412">
        <v>-1516078.19</v>
      </c>
      <c r="K2196" s="385">
        <v>45810</v>
      </c>
      <c r="L2196" s="387" t="s">
        <v>406</v>
      </c>
      <c r="M2196" s="390">
        <v>45810.541331018518</v>
      </c>
      <c r="N2196" s="368" t="s">
        <v>378</v>
      </c>
      <c r="O2196" s="368" t="s">
        <v>371</v>
      </c>
      <c r="P2196" s="367" t="str">
        <f t="shared" si="31"/>
        <v>Expense</v>
      </c>
      <c r="Q2196" s="366" t="s">
        <v>379</v>
      </c>
      <c r="R2196" s="366" t="s">
        <v>3591</v>
      </c>
      <c r="S2196" s="366">
        <v>510200</v>
      </c>
    </row>
    <row r="2197" spans="1:19" ht="15" hidden="1" outlineLevel="1">
      <c r="B2197" s="384">
        <v>2025</v>
      </c>
      <c r="C2197" s="384">
        <v>11</v>
      </c>
      <c r="D2197" s="367" t="s">
        <v>5</v>
      </c>
      <c r="E2197" s="367" t="s">
        <v>6</v>
      </c>
      <c r="F2197" s="389" t="s">
        <v>3589</v>
      </c>
      <c r="G2197" s="385">
        <v>45805</v>
      </c>
      <c r="H2197" s="367" t="s">
        <v>7</v>
      </c>
      <c r="I2197" s="368" t="str">
        <f>VLOOKUP(H2197,'Source Codes'!A$2:B$115,2,FALSE)</f>
        <v>HRMS Interface Journals</v>
      </c>
      <c r="J2197" s="412">
        <v>-2604678.5499999998</v>
      </c>
      <c r="K2197" s="385">
        <v>45810</v>
      </c>
      <c r="L2197" s="387" t="s">
        <v>409</v>
      </c>
      <c r="M2197" s="390">
        <v>45810.38890046296</v>
      </c>
      <c r="N2197" s="368" t="s">
        <v>378</v>
      </c>
      <c r="O2197" s="368" t="s">
        <v>379</v>
      </c>
      <c r="P2197" s="367" t="str">
        <f t="shared" si="31"/>
        <v>Expense</v>
      </c>
      <c r="Q2197" s="366" t="s">
        <v>379</v>
      </c>
      <c r="R2197" s="366" t="s">
        <v>3591</v>
      </c>
      <c r="S2197" s="366">
        <v>513120</v>
      </c>
    </row>
    <row r="2198" spans="1:19" ht="15" hidden="1" outlineLevel="1">
      <c r="B2198" s="384">
        <v>2025</v>
      </c>
      <c r="C2198" s="384">
        <v>11</v>
      </c>
      <c r="D2198" s="367" t="s">
        <v>5</v>
      </c>
      <c r="E2198" s="367" t="s">
        <v>6</v>
      </c>
      <c r="F2198" s="389" t="s">
        <v>3590</v>
      </c>
      <c r="G2198" s="385">
        <v>45805</v>
      </c>
      <c r="H2198" s="367" t="s">
        <v>7</v>
      </c>
      <c r="I2198" s="368" t="str">
        <f>VLOOKUP(H2198,'Source Codes'!A$2:B$115,2,FALSE)</f>
        <v>HRMS Interface Journals</v>
      </c>
      <c r="J2198" s="412">
        <v>-14055563.199999999</v>
      </c>
      <c r="K2198" s="385">
        <v>45810</v>
      </c>
      <c r="L2198" s="387" t="s">
        <v>407</v>
      </c>
      <c r="M2198" s="390">
        <v>45810.381215277775</v>
      </c>
      <c r="N2198" s="368" t="s">
        <v>378</v>
      </c>
      <c r="O2198" s="368" t="s">
        <v>379</v>
      </c>
      <c r="P2198" s="367" t="str">
        <f t="shared" si="31"/>
        <v>Expense</v>
      </c>
      <c r="Q2198" s="366" t="s">
        <v>379</v>
      </c>
      <c r="R2198" s="366" t="s">
        <v>3591</v>
      </c>
      <c r="S2198" s="366" t="s">
        <v>203</v>
      </c>
    </row>
    <row r="2199" spans="1:19" ht="12.75" customHeight="1" collapsed="1">
      <c r="I2199" s="368"/>
      <c r="J2199" s="413">
        <f>SUM(J2193:J2198)</f>
        <v>202187543.69</v>
      </c>
      <c r="P2199" s="367"/>
    </row>
    <row r="2200" spans="1:19" ht="12.75" customHeight="1">
      <c r="I2200" s="368"/>
      <c r="P2200" s="367"/>
    </row>
    <row r="2201" spans="1:19" ht="12.75" customHeight="1">
      <c r="A2201" s="378" t="s">
        <v>3594</v>
      </c>
      <c r="I2201" s="368"/>
      <c r="P2201" s="367"/>
    </row>
    <row r="2202" spans="1:19" ht="60" hidden="1" outlineLevel="1">
      <c r="B2202" s="384">
        <v>2025</v>
      </c>
      <c r="C2202" s="384">
        <v>12</v>
      </c>
      <c r="D2202" s="367" t="s">
        <v>5</v>
      </c>
      <c r="E2202" s="367" t="s">
        <v>6</v>
      </c>
      <c r="F2202" s="389" t="s">
        <v>3595</v>
      </c>
      <c r="G2202" s="385">
        <v>45811</v>
      </c>
      <c r="H2202" s="367" t="s">
        <v>14</v>
      </c>
      <c r="I2202" s="368" t="str">
        <f>VLOOKUP(H2202,'Source Codes'!A$2:B$115,2,FALSE)</f>
        <v>AP Warrant Issuance</v>
      </c>
      <c r="J2202" s="412">
        <v>-9281403.3800000008</v>
      </c>
      <c r="K2202" s="385">
        <v>45811</v>
      </c>
      <c r="L2202" s="387" t="s">
        <v>3597</v>
      </c>
      <c r="M2202" s="390">
        <v>45811.793726851851</v>
      </c>
      <c r="N2202" s="368" t="s">
        <v>356</v>
      </c>
      <c r="O2202" s="368" t="s">
        <v>364</v>
      </c>
      <c r="P2202" s="367" t="str">
        <f t="shared" ref="P2202:P2208" si="32">IF(J2202&gt;0,"Revenue",IF(J2202&lt;0,"Expense"))</f>
        <v>Expense</v>
      </c>
      <c r="Q2202" s="366" t="s">
        <v>2748</v>
      </c>
      <c r="R2202" s="393">
        <v>45809</v>
      </c>
      <c r="S2202" s="366">
        <v>201101</v>
      </c>
    </row>
    <row r="2203" spans="1:19" ht="75" hidden="1" outlineLevel="1">
      <c r="B2203" s="384">
        <v>2025</v>
      </c>
      <c r="C2203" s="384">
        <v>12</v>
      </c>
      <c r="D2203" s="367" t="s">
        <v>5</v>
      </c>
      <c r="E2203" s="367" t="s">
        <v>6</v>
      </c>
      <c r="F2203" s="389" t="s">
        <v>3596</v>
      </c>
      <c r="G2203" s="385">
        <v>45811</v>
      </c>
      <c r="H2203" s="367" t="s">
        <v>14</v>
      </c>
      <c r="I2203" s="368" t="str">
        <f>VLOOKUP(H2203,'Source Codes'!A$2:B$115,2,FALSE)</f>
        <v>AP Warrant Issuance</v>
      </c>
      <c r="J2203" s="412">
        <v>-1942850.69</v>
      </c>
      <c r="K2203" s="385">
        <v>45811</v>
      </c>
      <c r="L2203" s="387" t="s">
        <v>3599</v>
      </c>
      <c r="M2203" s="390">
        <v>45811.793726851851</v>
      </c>
      <c r="N2203" s="368" t="s">
        <v>3598</v>
      </c>
      <c r="O2203" s="368" t="s">
        <v>400</v>
      </c>
      <c r="P2203" s="367" t="str">
        <f t="shared" si="32"/>
        <v>Expense</v>
      </c>
      <c r="Q2203" s="366" t="s">
        <v>3613</v>
      </c>
      <c r="R2203" s="393" t="s">
        <v>3612</v>
      </c>
      <c r="S2203" s="366">
        <v>201101</v>
      </c>
    </row>
    <row r="2204" spans="1:19" ht="30" hidden="1" outlineLevel="1">
      <c r="B2204" s="384">
        <v>2025</v>
      </c>
      <c r="C2204" s="384">
        <v>12</v>
      </c>
      <c r="D2204" s="367" t="s">
        <v>5</v>
      </c>
      <c r="E2204" s="367" t="s">
        <v>6</v>
      </c>
      <c r="F2204" s="389" t="s">
        <v>3600</v>
      </c>
      <c r="G2204" s="385">
        <v>45810</v>
      </c>
      <c r="H2204" s="367" t="s">
        <v>16</v>
      </c>
      <c r="I2204" s="368" t="str">
        <f>VLOOKUP(H2204,'Source Codes'!A$2:B$115,2,FALSE)</f>
        <v>Property Tax Interface</v>
      </c>
      <c r="J2204" s="412">
        <v>164814820.5</v>
      </c>
      <c r="K2204" s="385">
        <v>45811</v>
      </c>
      <c r="L2204" s="387" t="s">
        <v>3601</v>
      </c>
      <c r="M2204" s="390">
        <v>45811.528252314813</v>
      </c>
      <c r="N2204" s="368" t="s">
        <v>507</v>
      </c>
      <c r="O2204" s="368" t="s">
        <v>384</v>
      </c>
      <c r="P2204" s="367" t="str">
        <f t="shared" si="32"/>
        <v>Revenue</v>
      </c>
      <c r="Q2204" s="366" t="s">
        <v>2266</v>
      </c>
      <c r="R2204" s="366" t="s">
        <v>3602</v>
      </c>
      <c r="S2204" s="366" t="s">
        <v>3603</v>
      </c>
    </row>
    <row r="2205" spans="1:19" ht="45" hidden="1" outlineLevel="1">
      <c r="B2205" s="384">
        <v>2025</v>
      </c>
      <c r="C2205" s="384">
        <v>12</v>
      </c>
      <c r="D2205" s="367" t="s">
        <v>5</v>
      </c>
      <c r="E2205" s="367" t="s">
        <v>6</v>
      </c>
      <c r="F2205" s="389" t="s">
        <v>3604</v>
      </c>
      <c r="G2205" s="385">
        <v>45809</v>
      </c>
      <c r="H2205" s="367" t="s">
        <v>9</v>
      </c>
      <c r="I2205" s="368" t="str">
        <f>VLOOKUP(H2205,'Source Codes'!A$2:B$115,2,FALSE)</f>
        <v>On Line Journal Entries</v>
      </c>
      <c r="J2205" s="412">
        <v>-1382069</v>
      </c>
      <c r="K2205" s="385">
        <v>45811</v>
      </c>
      <c r="L2205" s="387" t="s">
        <v>3439</v>
      </c>
      <c r="M2205" s="390">
        <v>45811.870208333334</v>
      </c>
      <c r="N2205" s="368" t="s">
        <v>356</v>
      </c>
      <c r="O2205" s="368" t="s">
        <v>364</v>
      </c>
      <c r="P2205" s="367" t="str">
        <f t="shared" si="32"/>
        <v>Expense</v>
      </c>
      <c r="Q2205" s="366" t="s">
        <v>2232</v>
      </c>
      <c r="R2205" s="366" t="s">
        <v>3454</v>
      </c>
      <c r="S2205" s="366">
        <v>750740</v>
      </c>
    </row>
    <row r="2206" spans="1:19" ht="15" hidden="1" outlineLevel="1">
      <c r="B2206" s="384">
        <v>2025</v>
      </c>
      <c r="C2206" s="384">
        <v>12</v>
      </c>
      <c r="D2206" s="367" t="s">
        <v>5</v>
      </c>
      <c r="E2206" s="367" t="s">
        <v>6</v>
      </c>
      <c r="F2206" s="389" t="s">
        <v>3605</v>
      </c>
      <c r="G2206" s="385">
        <v>45809</v>
      </c>
      <c r="H2206" s="367" t="s">
        <v>13</v>
      </c>
      <c r="I2206" s="368" t="str">
        <f>VLOOKUP(H2206,'Source Codes'!A$2:B$115,2,FALSE)</f>
        <v>C-IV Voucher/Payments/EBT</v>
      </c>
      <c r="J2206" s="412">
        <v>-11696818.16</v>
      </c>
      <c r="K2206" s="385">
        <v>45811</v>
      </c>
      <c r="L2206" s="387" t="s">
        <v>3608</v>
      </c>
      <c r="M2206" s="390">
        <v>45811.532233796293</v>
      </c>
      <c r="N2206" s="368" t="s">
        <v>356</v>
      </c>
      <c r="O2206" s="368" t="s">
        <v>364</v>
      </c>
      <c r="P2206" s="367" t="str">
        <f t="shared" si="32"/>
        <v>Expense</v>
      </c>
      <c r="Q2206" s="366" t="s">
        <v>2204</v>
      </c>
      <c r="R2206" s="393">
        <v>45778</v>
      </c>
      <c r="S2206" s="366">
        <v>530480</v>
      </c>
    </row>
    <row r="2207" spans="1:19" ht="15" hidden="1" outlineLevel="1">
      <c r="B2207" s="384">
        <v>2025</v>
      </c>
      <c r="C2207" s="384">
        <v>12</v>
      </c>
      <c r="D2207" s="367" t="s">
        <v>5</v>
      </c>
      <c r="E2207" s="367" t="s">
        <v>6</v>
      </c>
      <c r="F2207" s="389" t="s">
        <v>3606</v>
      </c>
      <c r="G2207" s="385">
        <v>45810</v>
      </c>
      <c r="H2207" s="367" t="s">
        <v>13</v>
      </c>
      <c r="I2207" s="368" t="str">
        <f>VLOOKUP(H2207,'Source Codes'!A$2:B$115,2,FALSE)</f>
        <v>C-IV Voucher/Payments/EBT</v>
      </c>
      <c r="J2207" s="412">
        <v>-17089361.420000002</v>
      </c>
      <c r="K2207" s="385">
        <v>45811</v>
      </c>
      <c r="L2207" s="387" t="s">
        <v>3609</v>
      </c>
      <c r="M2207" s="390">
        <v>45811.531817129631</v>
      </c>
      <c r="N2207" s="368" t="s">
        <v>356</v>
      </c>
      <c r="O2207" s="368" t="s">
        <v>364</v>
      </c>
      <c r="P2207" s="367" t="str">
        <f t="shared" si="32"/>
        <v>Expense</v>
      </c>
      <c r="Q2207" s="366" t="s">
        <v>2204</v>
      </c>
      <c r="R2207" s="393">
        <v>45778</v>
      </c>
      <c r="S2207" s="366">
        <v>530480</v>
      </c>
    </row>
    <row r="2208" spans="1:19" ht="30" hidden="1" outlineLevel="1">
      <c r="B2208" s="384">
        <v>2025</v>
      </c>
      <c r="C2208" s="384">
        <v>11</v>
      </c>
      <c r="D2208" s="367" t="s">
        <v>5</v>
      </c>
      <c r="E2208" s="367" t="s">
        <v>6</v>
      </c>
      <c r="F2208" s="389" t="s">
        <v>3607</v>
      </c>
      <c r="G2208" s="385">
        <v>45807</v>
      </c>
      <c r="H2208" s="367" t="s">
        <v>9</v>
      </c>
      <c r="I2208" s="368" t="str">
        <f>VLOOKUP(H2208,'Source Codes'!A$2:B$115,2,FALSE)</f>
        <v>On Line Journal Entries</v>
      </c>
      <c r="J2208" s="412">
        <v>-18698722.920000002</v>
      </c>
      <c r="K2208" s="385">
        <v>45811</v>
      </c>
      <c r="L2208" s="387" t="s">
        <v>3610</v>
      </c>
      <c r="M2208" s="390">
        <v>45811.762673611112</v>
      </c>
      <c r="N2208" s="368" t="s">
        <v>507</v>
      </c>
      <c r="O2208" s="368" t="s">
        <v>384</v>
      </c>
      <c r="P2208" s="367" t="str">
        <f t="shared" si="32"/>
        <v>Expense</v>
      </c>
      <c r="Q2208" s="366" t="s">
        <v>2266</v>
      </c>
      <c r="R2208" s="366" t="s">
        <v>3611</v>
      </c>
      <c r="S2208" s="366">
        <v>781000</v>
      </c>
    </row>
    <row r="2209" spans="1:19" ht="12.75" customHeight="1" collapsed="1">
      <c r="I2209" s="368"/>
      <c r="J2209" s="413">
        <f>SUM(J2202:J2208)</f>
        <v>104723594.93000001</v>
      </c>
      <c r="P2209" s="367"/>
    </row>
    <row r="2210" spans="1:19" ht="12.75" customHeight="1">
      <c r="I2210" s="368"/>
      <c r="P2210" s="367"/>
    </row>
    <row r="2211" spans="1:19" ht="12.75" customHeight="1">
      <c r="A2211" s="378" t="s">
        <v>3614</v>
      </c>
      <c r="I2211" s="368"/>
      <c r="P2211" s="367"/>
    </row>
    <row r="2212" spans="1:19" ht="30" hidden="1" outlineLevel="1">
      <c r="B2212" s="384">
        <v>2025</v>
      </c>
      <c r="C2212" s="384">
        <v>12</v>
      </c>
      <c r="D2212" s="367" t="s">
        <v>5</v>
      </c>
      <c r="E2212" s="367" t="s">
        <v>6</v>
      </c>
      <c r="F2212" s="389" t="s">
        <v>3615</v>
      </c>
      <c r="G2212" s="385">
        <v>45814</v>
      </c>
      <c r="H2212" s="367" t="s">
        <v>14</v>
      </c>
      <c r="I2212" s="368" t="str">
        <f>VLOOKUP(H2212,'Source Codes'!A$2:B$115,2,FALSE)</f>
        <v>AP Warrant Issuance</v>
      </c>
      <c r="J2212" s="412">
        <v>-3980477.47</v>
      </c>
      <c r="K2212" s="385">
        <v>45812</v>
      </c>
      <c r="L2212" s="387" t="s">
        <v>3616</v>
      </c>
      <c r="M2212" s="390">
        <v>45812.793865740743</v>
      </c>
      <c r="N2212" s="368" t="s">
        <v>356</v>
      </c>
      <c r="O2212" s="368" t="s">
        <v>368</v>
      </c>
      <c r="P2212" s="367" t="str">
        <f>IF(J2212&gt;0,"Revenue",IF(J2212&lt;0,"Expense"))</f>
        <v>Expense</v>
      </c>
      <c r="Q2212" s="366" t="s">
        <v>2154</v>
      </c>
      <c r="R2212" s="366" t="s">
        <v>2154</v>
      </c>
      <c r="S2212" s="366">
        <v>201101</v>
      </c>
    </row>
    <row r="2213" spans="1:19" ht="75" hidden="1" outlineLevel="1">
      <c r="B2213" s="384">
        <v>2025</v>
      </c>
      <c r="C2213" s="384">
        <v>12</v>
      </c>
      <c r="D2213" s="367" t="s">
        <v>5</v>
      </c>
      <c r="E2213" s="367" t="s">
        <v>6</v>
      </c>
      <c r="F2213" s="389" t="s">
        <v>3617</v>
      </c>
      <c r="G2213" s="385">
        <v>45812</v>
      </c>
      <c r="H2213" s="367" t="s">
        <v>11</v>
      </c>
      <c r="I2213" s="368" t="str">
        <f>VLOOKUP(H2213,'Source Codes'!A$2:B$115,2,FALSE)</f>
        <v>AR Payments</v>
      </c>
      <c r="J2213" s="412">
        <v>4778751</v>
      </c>
      <c r="K2213" s="385">
        <v>45812</v>
      </c>
      <c r="L2213" s="387" t="s">
        <v>3618</v>
      </c>
      <c r="M2213" s="390">
        <v>45812.752314814818</v>
      </c>
      <c r="N2213" s="368" t="s">
        <v>356</v>
      </c>
      <c r="O2213" s="368" t="s">
        <v>357</v>
      </c>
      <c r="P2213" s="367" t="str">
        <f>IF(J2213&gt;0,"Revenue",IF(J2213&lt;0,"Expense"))</f>
        <v>Revenue</v>
      </c>
      <c r="Q2213" s="366" t="s">
        <v>2157</v>
      </c>
      <c r="R2213" s="366" t="s">
        <v>2857</v>
      </c>
      <c r="S2213" s="366" t="s">
        <v>2278</v>
      </c>
    </row>
    <row r="2214" spans="1:19" ht="30" hidden="1" outlineLevel="1">
      <c r="B2214" s="384">
        <v>2025</v>
      </c>
      <c r="C2214" s="384">
        <v>11</v>
      </c>
      <c r="D2214" s="367" t="s">
        <v>5</v>
      </c>
      <c r="E2214" s="367" t="s">
        <v>6</v>
      </c>
      <c r="F2214" s="389" t="s">
        <v>3619</v>
      </c>
      <c r="G2214" s="385">
        <v>45798</v>
      </c>
      <c r="H2214" s="367" t="s">
        <v>9</v>
      </c>
      <c r="I2214" s="368" t="str">
        <f>VLOOKUP(H2214,'Source Codes'!A$2:B$115,2,FALSE)</f>
        <v>On Line Journal Entries</v>
      </c>
      <c r="J2214" s="412">
        <v>9306971.4199999999</v>
      </c>
      <c r="K2214" s="385">
        <v>45812</v>
      </c>
      <c r="L2214" s="387" t="s">
        <v>3620</v>
      </c>
      <c r="M2214" s="390">
        <v>45812.383668981478</v>
      </c>
      <c r="N2214" s="368" t="s">
        <v>387</v>
      </c>
      <c r="O2214" s="368" t="s">
        <v>376</v>
      </c>
      <c r="P2214" s="367" t="str">
        <f>IF(J2214&gt;0,"Revenue",IF(J2214&lt;0,"Expense"))</f>
        <v>Revenue</v>
      </c>
      <c r="Q2214" s="366" t="s">
        <v>2562</v>
      </c>
      <c r="R2214" s="366" t="s">
        <v>3622</v>
      </c>
      <c r="S2214" s="366" t="s">
        <v>3621</v>
      </c>
    </row>
    <row r="2215" spans="1:19" ht="15" hidden="1" outlineLevel="1">
      <c r="B2215" s="384">
        <v>2025</v>
      </c>
      <c r="C2215" s="384">
        <v>11</v>
      </c>
      <c r="D2215" s="367" t="s">
        <v>5</v>
      </c>
      <c r="E2215" s="367" t="s">
        <v>6</v>
      </c>
      <c r="F2215" s="389" t="s">
        <v>3623</v>
      </c>
      <c r="G2215" s="385">
        <v>45805</v>
      </c>
      <c r="H2215" s="367" t="s">
        <v>7</v>
      </c>
      <c r="I2215" s="368" t="str">
        <f>VLOOKUP(H2215,'Source Codes'!A$2:B$115,2,FALSE)</f>
        <v>HRMS Interface Journals</v>
      </c>
      <c r="J2215" s="412">
        <v>-71561390.239999995</v>
      </c>
      <c r="K2215" s="385">
        <v>45812</v>
      </c>
      <c r="L2215" s="387" t="s">
        <v>406</v>
      </c>
      <c r="M2215" s="390">
        <v>45812.261400462965</v>
      </c>
      <c r="N2215" s="368" t="s">
        <v>3624</v>
      </c>
      <c r="O2215" s="368" t="s">
        <v>371</v>
      </c>
      <c r="P2215" s="367" t="str">
        <f>IF(J2215&gt;0,"Revenue",IF(J2215&lt;0,"Expense"))</f>
        <v>Expense</v>
      </c>
      <c r="Q2215" s="366" t="s">
        <v>379</v>
      </c>
      <c r="R2215" s="366" t="s">
        <v>3625</v>
      </c>
      <c r="S2215" s="366" t="s">
        <v>203</v>
      </c>
    </row>
    <row r="2216" spans="1:19" ht="12.75" customHeight="1" collapsed="1">
      <c r="J2216" s="413">
        <f>SUM(J2212:J2215)</f>
        <v>-61456145.289999992</v>
      </c>
    </row>
    <row r="2218" spans="1:19" ht="12.75" customHeight="1">
      <c r="A2218" s="378" t="s">
        <v>3626</v>
      </c>
    </row>
    <row r="2219" spans="1:19" ht="75" hidden="1" outlineLevel="1">
      <c r="B2219" s="384">
        <v>2025</v>
      </c>
      <c r="C2219" s="384">
        <v>12</v>
      </c>
      <c r="D2219" s="367" t="s">
        <v>5</v>
      </c>
      <c r="E2219" s="367" t="s">
        <v>6</v>
      </c>
      <c r="F2219" s="389" t="s">
        <v>3627</v>
      </c>
      <c r="G2219" s="385">
        <v>45813</v>
      </c>
      <c r="H2219" s="367" t="s">
        <v>14</v>
      </c>
      <c r="I2219" s="368" t="str">
        <f>VLOOKUP(H2219,'Source Codes'!A$2:B$115,2,FALSE)</f>
        <v>AP Warrant Issuance</v>
      </c>
      <c r="J2219" s="412">
        <v>-1661846.92</v>
      </c>
      <c r="K2219" s="385">
        <v>45813</v>
      </c>
      <c r="L2219" s="387" t="s">
        <v>3632</v>
      </c>
      <c r="M2219" s="390">
        <v>45813.793981481482</v>
      </c>
      <c r="N2219" s="368" t="s">
        <v>2185</v>
      </c>
      <c r="O2219" s="368" t="s">
        <v>370</v>
      </c>
      <c r="P2219" s="367" t="str">
        <f>IF(J2219&gt;0,"Revenue",IF(J2219&lt;0,"Expense"))</f>
        <v>Expense</v>
      </c>
      <c r="Q2219" s="366" t="s">
        <v>2212</v>
      </c>
      <c r="R2219" s="366" t="s">
        <v>2213</v>
      </c>
      <c r="S2219" s="366">
        <v>526910</v>
      </c>
    </row>
    <row r="2220" spans="1:19" ht="30" hidden="1" outlineLevel="1">
      <c r="B2220" s="384">
        <v>2025</v>
      </c>
      <c r="C2220" s="384">
        <v>12</v>
      </c>
      <c r="D2220" s="367" t="s">
        <v>5</v>
      </c>
      <c r="E2220" s="367" t="s">
        <v>6</v>
      </c>
      <c r="F2220" s="389" t="s">
        <v>3628</v>
      </c>
      <c r="G2220" s="385">
        <v>45809</v>
      </c>
      <c r="H2220" s="367" t="s">
        <v>9</v>
      </c>
      <c r="I2220" s="368" t="str">
        <f>VLOOKUP(H2220,'Source Codes'!A$2:B$115,2,FALSE)</f>
        <v>On Line Journal Entries</v>
      </c>
      <c r="J2220" s="412">
        <v>-4968748.5</v>
      </c>
      <c r="K2220" s="385">
        <v>45813</v>
      </c>
      <c r="L2220" s="387" t="s">
        <v>3630</v>
      </c>
      <c r="M2220" s="390">
        <v>45813.870532407411</v>
      </c>
      <c r="N2220" s="368" t="s">
        <v>356</v>
      </c>
      <c r="O2220" s="368" t="s">
        <v>374</v>
      </c>
      <c r="P2220" s="367" t="str">
        <f>IF(J2220&gt;0,"Revenue",IF(J2220&lt;0,"Expense"))</f>
        <v>Expense</v>
      </c>
      <c r="Q2220" s="366" t="s">
        <v>2202</v>
      </c>
      <c r="R2220" s="366" t="s">
        <v>3633</v>
      </c>
      <c r="S2220" s="366">
        <v>525840</v>
      </c>
    </row>
    <row r="2221" spans="1:19" ht="30" hidden="1" outlineLevel="1">
      <c r="B2221" s="384">
        <v>2025</v>
      </c>
      <c r="C2221" s="384">
        <v>12</v>
      </c>
      <c r="D2221" s="367" t="s">
        <v>5</v>
      </c>
      <c r="E2221" s="367" t="s">
        <v>6</v>
      </c>
      <c r="F2221" s="389" t="s">
        <v>3629</v>
      </c>
      <c r="G2221" s="385">
        <v>45812</v>
      </c>
      <c r="H2221" s="367" t="s">
        <v>9</v>
      </c>
      <c r="I2221" s="368" t="str">
        <f>VLOOKUP(H2221,'Source Codes'!A$2:B$115,2,FALSE)</f>
        <v>On Line Journal Entries</v>
      </c>
      <c r="J2221" s="412">
        <v>-6123464</v>
      </c>
      <c r="K2221" s="385">
        <v>45813</v>
      </c>
      <c r="L2221" s="387" t="s">
        <v>3631</v>
      </c>
      <c r="M2221" s="390">
        <v>45813.870532407411</v>
      </c>
      <c r="N2221" s="368" t="s">
        <v>2185</v>
      </c>
      <c r="O2221" s="368" t="s">
        <v>358</v>
      </c>
      <c r="P2221" s="367" t="str">
        <f>IF(J2221&gt;0,"Revenue",IF(J2221&lt;0,"Expense"))</f>
        <v>Expense</v>
      </c>
      <c r="Q2221" s="366" t="s">
        <v>3634</v>
      </c>
      <c r="R2221" s="366" t="s">
        <v>3634</v>
      </c>
      <c r="S2221" s="366">
        <v>551100</v>
      </c>
    </row>
    <row r="2222" spans="1:19" ht="12.75" customHeight="1" collapsed="1">
      <c r="J2222" s="413">
        <f>SUM(J2219:J2221)</f>
        <v>-12754059.42</v>
      </c>
    </row>
    <row r="2224" spans="1:19" ht="12.75" customHeight="1">
      <c r="A2224" s="378" t="s">
        <v>3635</v>
      </c>
    </row>
    <row r="2225" spans="1:19" ht="66.75" hidden="1" customHeight="1" outlineLevel="1">
      <c r="B2225" s="384">
        <v>2025</v>
      </c>
      <c r="C2225" s="384">
        <v>12</v>
      </c>
      <c r="D2225" s="367" t="s">
        <v>5</v>
      </c>
      <c r="E2225" s="367" t="s">
        <v>6</v>
      </c>
      <c r="F2225" s="389" t="s">
        <v>3636</v>
      </c>
      <c r="G2225" s="385">
        <v>45814</v>
      </c>
      <c r="H2225" s="367" t="s">
        <v>14</v>
      </c>
      <c r="I2225" s="368" t="str">
        <f>VLOOKUP(H2225,'Source Codes'!A$2:B$115,2,FALSE)</f>
        <v>AP Warrant Issuance</v>
      </c>
      <c r="J2225" s="412">
        <v>-60678823.700000003</v>
      </c>
      <c r="K2225" s="385">
        <v>45814</v>
      </c>
      <c r="L2225" s="387" t="s">
        <v>3643</v>
      </c>
      <c r="M2225" s="390">
        <v>45814.793553240743</v>
      </c>
      <c r="N2225" s="368" t="s">
        <v>1612</v>
      </c>
      <c r="O2225" s="368" t="s">
        <v>370</v>
      </c>
      <c r="P2225" s="367" t="str">
        <f>IF(J2225&gt;0,"Revenue",IF(J2225&lt;0,"Expense"))</f>
        <v>Expense</v>
      </c>
      <c r="Q2225" s="366" t="s">
        <v>3641</v>
      </c>
      <c r="R2225" s="366" t="s">
        <v>3642</v>
      </c>
      <c r="S2225" s="366">
        <v>525440</v>
      </c>
    </row>
    <row r="2226" spans="1:19" ht="30" hidden="1" outlineLevel="1">
      <c r="B2226" s="384">
        <v>2025</v>
      </c>
      <c r="C2226" s="384">
        <v>12</v>
      </c>
      <c r="D2226" s="367" t="s">
        <v>5</v>
      </c>
      <c r="E2226" s="367" t="s">
        <v>6</v>
      </c>
      <c r="F2226" s="389" t="s">
        <v>3637</v>
      </c>
      <c r="G2226" s="385">
        <v>45814</v>
      </c>
      <c r="H2226" s="367" t="s">
        <v>14</v>
      </c>
      <c r="I2226" s="368" t="str">
        <f>VLOOKUP(H2226,'Source Codes'!A$2:B$115,2,FALSE)</f>
        <v>AP Warrant Issuance</v>
      </c>
      <c r="J2226" s="412">
        <v>-1344335.53</v>
      </c>
      <c r="K2226" s="385">
        <v>45814</v>
      </c>
      <c r="L2226" s="369" t="s">
        <v>3639</v>
      </c>
      <c r="M2226" s="390">
        <v>45814.793553240743</v>
      </c>
      <c r="N2226" s="368" t="s">
        <v>359</v>
      </c>
      <c r="O2226" s="368" t="s">
        <v>357</v>
      </c>
      <c r="P2226" s="368" t="str">
        <f>IF(J2226&gt;0,"Revenue",IF(J2226&lt;0,"Expense"))</f>
        <v>Expense</v>
      </c>
      <c r="Q2226" s="366" t="s">
        <v>2309</v>
      </c>
      <c r="R2226" s="366" t="s">
        <v>2310</v>
      </c>
      <c r="S2226" s="366" t="s">
        <v>303</v>
      </c>
    </row>
    <row r="2227" spans="1:19" ht="30" hidden="1" outlineLevel="1">
      <c r="B2227" s="384">
        <v>2025</v>
      </c>
      <c r="C2227" s="384">
        <v>12</v>
      </c>
      <c r="D2227" s="367" t="s">
        <v>5</v>
      </c>
      <c r="E2227" s="367" t="s">
        <v>6</v>
      </c>
      <c r="F2227" s="389" t="s">
        <v>3638</v>
      </c>
      <c r="G2227" s="385">
        <v>45812</v>
      </c>
      <c r="H2227" s="367" t="s">
        <v>12</v>
      </c>
      <c r="I2227" s="368" t="str">
        <f>VLOOKUP(H2227,'Source Codes'!A$2:B$115,2,FALSE)</f>
        <v>AR Direct Cash Journal</v>
      </c>
      <c r="J2227" s="412">
        <v>20619681.09</v>
      </c>
      <c r="K2227" s="385">
        <v>45814</v>
      </c>
      <c r="L2227" s="369" t="s">
        <v>3640</v>
      </c>
      <c r="M2227" s="390">
        <v>45814.752303240741</v>
      </c>
      <c r="N2227" s="368" t="s">
        <v>2185</v>
      </c>
      <c r="O2227" s="368" t="s">
        <v>385</v>
      </c>
      <c r="P2227" s="368" t="s">
        <v>2290</v>
      </c>
      <c r="Q2227" s="366" t="s">
        <v>2757</v>
      </c>
      <c r="R2227" s="366" t="s">
        <v>2715</v>
      </c>
      <c r="S2227" s="366">
        <v>112632</v>
      </c>
    </row>
    <row r="2228" spans="1:19" ht="12.75" customHeight="1" collapsed="1">
      <c r="B2228" s="384"/>
      <c r="C2228" s="384"/>
      <c r="D2228" s="367"/>
      <c r="E2228" s="367"/>
      <c r="F2228" s="389"/>
      <c r="G2228" s="385"/>
      <c r="H2228" s="367"/>
      <c r="I2228" s="368"/>
      <c r="J2228" s="415">
        <f>SUM(J2225:J2227)</f>
        <v>-41403478.140000001</v>
      </c>
      <c r="K2228" s="385"/>
      <c r="L2228" s="387"/>
      <c r="M2228" s="390"/>
      <c r="N2228" s="368"/>
      <c r="O2228" s="368"/>
      <c r="P2228" s="367"/>
      <c r="Q2228" s="366"/>
      <c r="R2228" s="366"/>
      <c r="S2228" s="366"/>
    </row>
    <row r="2230" spans="1:19" ht="12.75" customHeight="1">
      <c r="A2230" s="378" t="s">
        <v>3647</v>
      </c>
    </row>
    <row r="2231" spans="1:19" ht="60" hidden="1" outlineLevel="1">
      <c r="B2231" s="384">
        <v>2025</v>
      </c>
      <c r="C2231" s="384">
        <v>12</v>
      </c>
      <c r="D2231" s="367" t="s">
        <v>5</v>
      </c>
      <c r="E2231" s="367" t="s">
        <v>6</v>
      </c>
      <c r="F2231" s="389" t="s">
        <v>3644</v>
      </c>
      <c r="G2231" s="385">
        <v>45817</v>
      </c>
      <c r="H2231" s="367" t="s">
        <v>14</v>
      </c>
      <c r="I2231" s="368" t="str">
        <f>VLOOKUP(H2231,'Source Codes'!A$2:B$115,2,FALSE)</f>
        <v>AP Warrant Issuance</v>
      </c>
      <c r="J2231" s="412">
        <v>-1887217.89</v>
      </c>
      <c r="K2231" s="385">
        <v>45817</v>
      </c>
      <c r="L2231" s="387" t="s">
        <v>3650</v>
      </c>
      <c r="M2231" s="390">
        <v>45817.793703703705</v>
      </c>
      <c r="N2231" s="366" t="s">
        <v>2185</v>
      </c>
      <c r="O2231" s="367" t="s">
        <v>370</v>
      </c>
      <c r="P2231" s="368" t="s">
        <v>2613</v>
      </c>
      <c r="Q2231" s="366" t="s">
        <v>2212</v>
      </c>
      <c r="R2231" s="366" t="s">
        <v>2213</v>
      </c>
      <c r="S2231" s="366">
        <v>526910</v>
      </c>
    </row>
    <row r="2232" spans="1:19" ht="30" hidden="1" outlineLevel="1">
      <c r="B2232" s="384">
        <v>2025</v>
      </c>
      <c r="C2232" s="384">
        <v>12</v>
      </c>
      <c r="D2232" s="367" t="s">
        <v>5</v>
      </c>
      <c r="E2232" s="367" t="s">
        <v>6</v>
      </c>
      <c r="F2232" s="389" t="s">
        <v>3645</v>
      </c>
      <c r="G2232" s="385">
        <v>45819</v>
      </c>
      <c r="H2232" s="367" t="s">
        <v>14</v>
      </c>
      <c r="I2232" s="368" t="str">
        <f>VLOOKUP(H2232,'Source Codes'!A$2:B$115,2,FALSE)</f>
        <v>AP Warrant Issuance</v>
      </c>
      <c r="J2232" s="412">
        <v>-1806748.22</v>
      </c>
      <c r="K2232" s="385">
        <v>45817</v>
      </c>
      <c r="L2232" s="369" t="s">
        <v>3648</v>
      </c>
      <c r="M2232" s="390">
        <v>45817.793703703705</v>
      </c>
      <c r="N2232" s="366" t="s">
        <v>356</v>
      </c>
      <c r="O2232" s="367" t="s">
        <v>368</v>
      </c>
      <c r="P2232" s="368" t="s">
        <v>2613</v>
      </c>
      <c r="Q2232" s="366" t="s">
        <v>2154</v>
      </c>
      <c r="R2232" s="366" t="s">
        <v>2154</v>
      </c>
      <c r="S2232" s="366" t="s">
        <v>303</v>
      </c>
    </row>
    <row r="2233" spans="1:19" ht="30" hidden="1" outlineLevel="1">
      <c r="B2233" s="384">
        <v>2025</v>
      </c>
      <c r="C2233" s="384">
        <v>12</v>
      </c>
      <c r="D2233" s="367" t="s">
        <v>5</v>
      </c>
      <c r="E2233" s="367" t="s">
        <v>6</v>
      </c>
      <c r="F2233" s="389" t="s">
        <v>3646</v>
      </c>
      <c r="G2233" s="385">
        <v>45817</v>
      </c>
      <c r="H2233" s="367" t="s">
        <v>14</v>
      </c>
      <c r="I2233" s="368" t="str">
        <f>VLOOKUP(H2233,'Source Codes'!A$2:B$115,2,FALSE)</f>
        <v>AP Warrant Issuance</v>
      </c>
      <c r="J2233" s="412">
        <v>-1237125.48</v>
      </c>
      <c r="K2233" s="385">
        <v>45817</v>
      </c>
      <c r="L2233" s="369" t="s">
        <v>3649</v>
      </c>
      <c r="M2233" s="390">
        <v>45817.793703703705</v>
      </c>
      <c r="N2233" s="368" t="s">
        <v>359</v>
      </c>
      <c r="O2233" s="368" t="s">
        <v>357</v>
      </c>
      <c r="P2233" s="368" t="str">
        <f>IF(J2233&gt;0,"Revenue",IF(J2233&lt;0,"Expense"))</f>
        <v>Expense</v>
      </c>
      <c r="Q2233" s="366" t="s">
        <v>2309</v>
      </c>
      <c r="R2233" s="366" t="s">
        <v>2310</v>
      </c>
      <c r="S2233" s="366" t="s">
        <v>303</v>
      </c>
    </row>
    <row r="2234" spans="1:19" ht="12.75" customHeight="1" collapsed="1">
      <c r="J2234" s="413">
        <f>SUM(J2231:J2233)</f>
        <v>-4931091.59</v>
      </c>
    </row>
    <row r="2236" spans="1:19" ht="12.75" customHeight="1">
      <c r="A2236" s="378" t="s">
        <v>3651</v>
      </c>
    </row>
    <row r="2237" spans="1:19" ht="75" hidden="1" outlineLevel="1">
      <c r="B2237" s="384">
        <v>2025</v>
      </c>
      <c r="C2237" s="384">
        <v>12</v>
      </c>
      <c r="D2237" s="367" t="s">
        <v>5</v>
      </c>
      <c r="E2237" s="367" t="s">
        <v>6</v>
      </c>
      <c r="F2237" s="389" t="s">
        <v>3652</v>
      </c>
      <c r="G2237" s="385">
        <v>45818</v>
      </c>
      <c r="H2237" s="367" t="s">
        <v>14</v>
      </c>
      <c r="I2237" s="368" t="str">
        <f>VLOOKUP(H2237,'Source Codes'!A$2:B$115,2,FALSE)</f>
        <v>AP Warrant Issuance</v>
      </c>
      <c r="J2237" s="412">
        <v>-5322606.38</v>
      </c>
      <c r="K2237" s="385">
        <v>45818</v>
      </c>
      <c r="L2237" s="369" t="s">
        <v>3656</v>
      </c>
      <c r="M2237" s="390">
        <v>45818.793900462966</v>
      </c>
      <c r="N2237" s="366" t="s">
        <v>356</v>
      </c>
      <c r="O2237" s="367" t="s">
        <v>368</v>
      </c>
      <c r="P2237" s="368" t="s">
        <v>2613</v>
      </c>
      <c r="Q2237" s="366" t="s">
        <v>2154</v>
      </c>
      <c r="R2237" s="366" t="s">
        <v>2154</v>
      </c>
      <c r="S2237" s="366" t="s">
        <v>3654</v>
      </c>
    </row>
    <row r="2238" spans="1:19" ht="45" hidden="1" outlineLevel="1">
      <c r="B2238" s="384">
        <v>2025</v>
      </c>
      <c r="C2238" s="384">
        <v>12</v>
      </c>
      <c r="D2238" s="367" t="s">
        <v>5</v>
      </c>
      <c r="E2238" s="367" t="s">
        <v>6</v>
      </c>
      <c r="F2238" s="389" t="s">
        <v>3653</v>
      </c>
      <c r="G2238" s="385">
        <v>45818</v>
      </c>
      <c r="H2238" s="367" t="s">
        <v>14</v>
      </c>
      <c r="I2238" s="368" t="str">
        <f>VLOOKUP(H2238,'Source Codes'!A$2:B$115,2,FALSE)</f>
        <v>AP Warrant Issuance</v>
      </c>
      <c r="J2238" s="412">
        <v>-1746810.7</v>
      </c>
      <c r="K2238" s="385">
        <v>45818</v>
      </c>
      <c r="L2238" s="369" t="s">
        <v>3655</v>
      </c>
      <c r="M2238" s="390">
        <v>45818.793900462966</v>
      </c>
      <c r="N2238" s="368" t="s">
        <v>359</v>
      </c>
      <c r="O2238" s="368" t="s">
        <v>364</v>
      </c>
      <c r="P2238" s="368" t="s">
        <v>2613</v>
      </c>
      <c r="Q2238" s="366" t="s">
        <v>2344</v>
      </c>
      <c r="R2238" s="366" t="s">
        <v>2344</v>
      </c>
      <c r="S2238" s="366" t="s">
        <v>203</v>
      </c>
    </row>
    <row r="2239" spans="1:19" ht="12.75" customHeight="1" collapsed="1">
      <c r="J2239" s="413">
        <f>SUM(J2237:J2238)</f>
        <v>-7069417.0800000001</v>
      </c>
    </row>
    <row r="2241" spans="1:19" ht="12.75" customHeight="1">
      <c r="A2241" s="378" t="s">
        <v>3657</v>
      </c>
    </row>
    <row r="2242" spans="1:19" ht="30" hidden="1" outlineLevel="1">
      <c r="B2242" s="384">
        <v>2025</v>
      </c>
      <c r="C2242" s="384">
        <v>12</v>
      </c>
      <c r="D2242" s="367" t="s">
        <v>5</v>
      </c>
      <c r="E2242" s="367" t="s">
        <v>6</v>
      </c>
      <c r="F2242" s="389" t="s">
        <v>3658</v>
      </c>
      <c r="G2242" s="385">
        <v>45819</v>
      </c>
      <c r="H2242" s="367" t="s">
        <v>14</v>
      </c>
      <c r="I2242" s="368" t="str">
        <f>VLOOKUP(H2242,'Source Codes'!A$2:B$115,2,FALSE)</f>
        <v>AP Warrant Issuance</v>
      </c>
      <c r="J2242" s="412">
        <v>-1745188.94</v>
      </c>
      <c r="K2242" s="385">
        <v>45819</v>
      </c>
      <c r="L2242" s="369" t="s">
        <v>3662</v>
      </c>
      <c r="M2242" s="390">
        <v>45819.793912037036</v>
      </c>
      <c r="N2242" s="368" t="s">
        <v>356</v>
      </c>
      <c r="O2242" s="368" t="s">
        <v>368</v>
      </c>
      <c r="P2242" s="368" t="s">
        <v>2613</v>
      </c>
      <c r="Q2242" s="366" t="s">
        <v>2154</v>
      </c>
      <c r="R2242" s="366" t="s">
        <v>2154</v>
      </c>
      <c r="S2242" s="366" t="s">
        <v>303</v>
      </c>
    </row>
    <row r="2243" spans="1:19" ht="30" hidden="1" outlineLevel="1">
      <c r="B2243" s="384">
        <v>2025</v>
      </c>
      <c r="C2243" s="384">
        <v>12</v>
      </c>
      <c r="D2243" s="367" t="s">
        <v>5</v>
      </c>
      <c r="E2243" s="367" t="s">
        <v>6</v>
      </c>
      <c r="F2243" s="389" t="s">
        <v>3659</v>
      </c>
      <c r="G2243" s="385">
        <v>45821</v>
      </c>
      <c r="H2243" s="367" t="s">
        <v>14</v>
      </c>
      <c r="I2243" s="368" t="str">
        <f>VLOOKUP(H2243,'Source Codes'!A$2:B$115,2,FALSE)</f>
        <v>AP Warrant Issuance</v>
      </c>
      <c r="J2243" s="412">
        <v>-1249899.82</v>
      </c>
      <c r="K2243" s="385">
        <v>45819</v>
      </c>
      <c r="L2243" s="369" t="s">
        <v>3663</v>
      </c>
      <c r="M2243" s="390">
        <v>45819.793912037036</v>
      </c>
      <c r="N2243" s="368" t="s">
        <v>356</v>
      </c>
      <c r="O2243" s="368" t="s">
        <v>368</v>
      </c>
      <c r="P2243" s="368" t="s">
        <v>2613</v>
      </c>
      <c r="Q2243" s="366" t="s">
        <v>2154</v>
      </c>
      <c r="R2243" s="366" t="s">
        <v>2154</v>
      </c>
      <c r="S2243" s="366" t="s">
        <v>303</v>
      </c>
    </row>
    <row r="2244" spans="1:19" ht="30" hidden="1" outlineLevel="1">
      <c r="B2244" s="384">
        <v>2025</v>
      </c>
      <c r="C2244" s="384">
        <v>12</v>
      </c>
      <c r="D2244" s="367" t="s">
        <v>5</v>
      </c>
      <c r="E2244" s="367" t="s">
        <v>6</v>
      </c>
      <c r="F2244" s="389" t="s">
        <v>3660</v>
      </c>
      <c r="G2244" s="385">
        <v>45819</v>
      </c>
      <c r="H2244" s="367" t="s">
        <v>12</v>
      </c>
      <c r="I2244" s="368" t="str">
        <f>VLOOKUP(H2244,'Source Codes'!A$2:B$115,2,FALSE)</f>
        <v>AR Direct Cash Journal</v>
      </c>
      <c r="J2244" s="412">
        <v>1299922.6000000001</v>
      </c>
      <c r="K2244" s="385">
        <v>45819</v>
      </c>
      <c r="L2244" s="369" t="s">
        <v>3665</v>
      </c>
      <c r="M2244" s="390">
        <v>45819.752199074072</v>
      </c>
      <c r="N2244" s="368" t="s">
        <v>361</v>
      </c>
      <c r="O2244" s="368" t="s">
        <v>370</v>
      </c>
      <c r="P2244" s="368" t="s">
        <v>2290</v>
      </c>
      <c r="Q2244" s="366" t="s">
        <v>2264</v>
      </c>
      <c r="R2244" s="366" t="s">
        <v>3664</v>
      </c>
      <c r="S2244" s="366">
        <v>779200</v>
      </c>
    </row>
    <row r="2245" spans="1:19" ht="43.5" hidden="1" customHeight="1" outlineLevel="1">
      <c r="B2245" s="384">
        <v>2025</v>
      </c>
      <c r="C2245" s="384">
        <v>12</v>
      </c>
      <c r="D2245" s="367" t="s">
        <v>5</v>
      </c>
      <c r="E2245" s="367" t="s">
        <v>6</v>
      </c>
      <c r="F2245" s="389" t="s">
        <v>3661</v>
      </c>
      <c r="G2245" s="385">
        <v>45817</v>
      </c>
      <c r="H2245" s="367" t="s">
        <v>11</v>
      </c>
      <c r="I2245" s="368" t="str">
        <f>VLOOKUP(H2245,'Source Codes'!A$2:B$115,2,FALSE)</f>
        <v>AR Payments</v>
      </c>
      <c r="J2245" s="412">
        <v>1816014.1</v>
      </c>
      <c r="K2245" s="385">
        <v>45819</v>
      </c>
      <c r="L2245" s="369" t="s">
        <v>3666</v>
      </c>
      <c r="M2245" s="390">
        <v>45819.752199074072</v>
      </c>
      <c r="N2245" s="366" t="s">
        <v>356</v>
      </c>
      <c r="O2245" s="367" t="s">
        <v>357</v>
      </c>
      <c r="P2245" s="368" t="s">
        <v>2290</v>
      </c>
      <c r="Q2245" s="366" t="s">
        <v>2157</v>
      </c>
      <c r="R2245" s="366" t="s">
        <v>2857</v>
      </c>
      <c r="S2245" s="366" t="s">
        <v>2531</v>
      </c>
    </row>
    <row r="2246" spans="1:19" ht="12.75" customHeight="1" collapsed="1">
      <c r="J2246" s="413">
        <f>SUM(J2242:J2245)</f>
        <v>120847.94000000041</v>
      </c>
    </row>
    <row r="2248" spans="1:19" ht="12.75" customHeight="1">
      <c r="A2248" s="378" t="s">
        <v>3667</v>
      </c>
    </row>
    <row r="2249" spans="1:19" ht="30" hidden="1" outlineLevel="1">
      <c r="B2249" s="384">
        <v>2025</v>
      </c>
      <c r="C2249" s="384">
        <v>12</v>
      </c>
      <c r="D2249" s="367" t="s">
        <v>5</v>
      </c>
      <c r="E2249" s="367" t="s">
        <v>6</v>
      </c>
      <c r="F2249" s="389" t="s">
        <v>3668</v>
      </c>
      <c r="G2249" s="385">
        <v>45820</v>
      </c>
      <c r="H2249" s="367" t="s">
        <v>14</v>
      </c>
      <c r="I2249" s="368" t="str">
        <f>VLOOKUP(H2249,'Source Codes'!A$2:B$115,2,FALSE)</f>
        <v>AP Warrant Issuance</v>
      </c>
      <c r="J2249" s="412">
        <v>-2785350.39</v>
      </c>
      <c r="K2249" s="385">
        <v>45820</v>
      </c>
      <c r="L2249" s="369" t="s">
        <v>3674</v>
      </c>
      <c r="M2249" s="390">
        <v>45820.758425925924</v>
      </c>
      <c r="N2249" s="368" t="s">
        <v>356</v>
      </c>
      <c r="O2249" s="368" t="s">
        <v>368</v>
      </c>
      <c r="P2249" s="368" t="s">
        <v>2613</v>
      </c>
      <c r="Q2249" s="366" t="s">
        <v>2154</v>
      </c>
      <c r="R2249" s="366" t="s">
        <v>2154</v>
      </c>
      <c r="S2249" s="366" t="s">
        <v>303</v>
      </c>
    </row>
    <row r="2250" spans="1:19" ht="45" hidden="1" outlineLevel="1">
      <c r="B2250" s="384">
        <v>2025</v>
      </c>
      <c r="C2250" s="384">
        <v>12</v>
      </c>
      <c r="D2250" s="367" t="s">
        <v>5</v>
      </c>
      <c r="E2250" s="367" t="s">
        <v>6</v>
      </c>
      <c r="F2250" s="389" t="s">
        <v>3669</v>
      </c>
      <c r="G2250" s="385">
        <v>45820</v>
      </c>
      <c r="H2250" s="367" t="s">
        <v>14</v>
      </c>
      <c r="I2250" s="368" t="str">
        <f>VLOOKUP(H2250,'Source Codes'!A$2:B$115,2,FALSE)</f>
        <v>AP Warrant Issuance</v>
      </c>
      <c r="J2250" s="412">
        <v>-2190737.4900000002</v>
      </c>
      <c r="K2250" s="385">
        <v>45820</v>
      </c>
      <c r="L2250" s="369" t="s">
        <v>3675</v>
      </c>
      <c r="M2250" s="390">
        <v>45820.758425925924</v>
      </c>
      <c r="N2250" s="368" t="s">
        <v>359</v>
      </c>
      <c r="O2250" s="368" t="s">
        <v>364</v>
      </c>
      <c r="P2250" s="368" t="s">
        <v>2613</v>
      </c>
      <c r="Q2250" s="366" t="s">
        <v>2344</v>
      </c>
      <c r="R2250" s="366" t="s">
        <v>2344</v>
      </c>
      <c r="S2250" s="366" t="s">
        <v>203</v>
      </c>
    </row>
    <row r="2251" spans="1:19" ht="30" hidden="1" outlineLevel="1">
      <c r="B2251" s="384">
        <v>2025</v>
      </c>
      <c r="C2251" s="384">
        <v>12</v>
      </c>
      <c r="D2251" s="367" t="s">
        <v>5</v>
      </c>
      <c r="E2251" s="367" t="s">
        <v>6</v>
      </c>
      <c r="F2251" s="389" t="s">
        <v>3670</v>
      </c>
      <c r="G2251" s="385">
        <v>45824</v>
      </c>
      <c r="H2251" s="367" t="s">
        <v>14</v>
      </c>
      <c r="I2251" s="368" t="str">
        <f>VLOOKUP(H2251,'Source Codes'!A$2:B$115,2,FALSE)</f>
        <v>AP Warrant Issuance</v>
      </c>
      <c r="J2251" s="412">
        <v>-1827049.13</v>
      </c>
      <c r="K2251" s="385">
        <v>45820</v>
      </c>
      <c r="L2251" s="369" t="s">
        <v>3676</v>
      </c>
      <c r="M2251" s="390">
        <v>45820.758425925924</v>
      </c>
      <c r="N2251" s="368" t="s">
        <v>356</v>
      </c>
      <c r="O2251" s="368" t="s">
        <v>368</v>
      </c>
      <c r="P2251" s="368" t="s">
        <v>2613</v>
      </c>
      <c r="Q2251" s="366" t="s">
        <v>2154</v>
      </c>
      <c r="R2251" s="366" t="s">
        <v>2154</v>
      </c>
      <c r="S2251" s="366" t="s">
        <v>303</v>
      </c>
    </row>
    <row r="2252" spans="1:19" ht="43.5" hidden="1" customHeight="1" outlineLevel="1">
      <c r="B2252" s="384">
        <v>2025</v>
      </c>
      <c r="C2252" s="384">
        <v>12</v>
      </c>
      <c r="D2252" s="367" t="s">
        <v>5</v>
      </c>
      <c r="E2252" s="367" t="s">
        <v>6</v>
      </c>
      <c r="F2252" s="389" t="s">
        <v>3671</v>
      </c>
      <c r="G2252" s="385">
        <v>45820</v>
      </c>
      <c r="H2252" s="367" t="s">
        <v>11</v>
      </c>
      <c r="I2252" s="368" t="str">
        <f>VLOOKUP(H2252,'Source Codes'!A$2:B$115,2,FALSE)</f>
        <v>AR Payments</v>
      </c>
      <c r="J2252" s="412">
        <v>2608085.75</v>
      </c>
      <c r="K2252" s="385">
        <v>45820</v>
      </c>
      <c r="L2252" s="369" t="s">
        <v>3677</v>
      </c>
      <c r="M2252" s="390">
        <v>45820.752245370371</v>
      </c>
      <c r="N2252" s="366" t="s">
        <v>356</v>
      </c>
      <c r="O2252" s="367" t="s">
        <v>357</v>
      </c>
      <c r="P2252" s="368" t="s">
        <v>2290</v>
      </c>
      <c r="Q2252" s="366" t="s">
        <v>2157</v>
      </c>
      <c r="R2252" s="366" t="s">
        <v>2857</v>
      </c>
      <c r="S2252" s="366" t="s">
        <v>2231</v>
      </c>
    </row>
    <row r="2253" spans="1:19" ht="15" hidden="1" outlineLevel="1">
      <c r="B2253" s="384">
        <v>2025</v>
      </c>
      <c r="C2253" s="384">
        <v>12</v>
      </c>
      <c r="D2253" s="367" t="s">
        <v>5</v>
      </c>
      <c r="E2253" s="367" t="s">
        <v>6</v>
      </c>
      <c r="F2253" s="389" t="s">
        <v>3672</v>
      </c>
      <c r="G2253" s="385">
        <v>45814</v>
      </c>
      <c r="H2253" s="367" t="s">
        <v>8</v>
      </c>
      <c r="I2253" s="368" t="str">
        <f>VLOOKUP(H2253,'Source Codes'!A$2:B$115,2,FALSE)</f>
        <v>Prch,Cntrl Mail,Flt,Prntg,Sply</v>
      </c>
      <c r="J2253" s="412">
        <v>-1978911.39</v>
      </c>
      <c r="K2253" s="385">
        <v>45820</v>
      </c>
      <c r="L2253" s="369" t="s">
        <v>3673</v>
      </c>
      <c r="M2253" s="390">
        <v>45820.371608796297</v>
      </c>
      <c r="N2253" s="366" t="s">
        <v>359</v>
      </c>
      <c r="O2253" s="367" t="s">
        <v>382</v>
      </c>
      <c r="P2253" s="368" t="s">
        <v>2613</v>
      </c>
      <c r="Q2253" s="366" t="s">
        <v>2328</v>
      </c>
      <c r="R2253" s="366" t="s">
        <v>3678</v>
      </c>
      <c r="S2253" s="366" t="s">
        <v>2535</v>
      </c>
    </row>
    <row r="2254" spans="1:19" ht="12.75" customHeight="1" collapsed="1">
      <c r="B2254" s="383"/>
      <c r="C2254" s="384"/>
      <c r="D2254" s="384"/>
      <c r="E2254" s="367"/>
      <c r="F2254" s="367"/>
      <c r="G2254" s="389"/>
      <c r="H2254" s="385"/>
      <c r="I2254" s="367"/>
      <c r="J2254" s="421">
        <f>SUM(J2249:J2253)</f>
        <v>-6173962.6500000004</v>
      </c>
      <c r="K2254" s="386"/>
      <c r="L2254" s="385"/>
      <c r="M2254" s="369"/>
      <c r="N2254" s="390"/>
      <c r="O2254" s="366"/>
      <c r="P2254" s="367"/>
      <c r="Q2254" s="368"/>
      <c r="R2254" s="366"/>
      <c r="S2254" s="366"/>
    </row>
    <row r="2256" spans="1:19" ht="12.75" customHeight="1">
      <c r="A2256" s="378" t="s">
        <v>3679</v>
      </c>
    </row>
    <row r="2257" spans="1:19" ht="45" hidden="1" outlineLevel="1">
      <c r="B2257" s="384">
        <v>2025</v>
      </c>
      <c r="C2257" s="384">
        <v>12</v>
      </c>
      <c r="D2257" s="367" t="s">
        <v>5</v>
      </c>
      <c r="E2257" s="367" t="s">
        <v>6</v>
      </c>
      <c r="F2257" s="389" t="s">
        <v>3680</v>
      </c>
      <c r="G2257" s="385">
        <v>45826</v>
      </c>
      <c r="H2257" s="367" t="s">
        <v>14</v>
      </c>
      <c r="I2257" s="368" t="str">
        <f>VLOOKUP(H2257,'Source Codes'!A$2:B$115,2,FALSE)</f>
        <v>AP Warrant Issuance</v>
      </c>
      <c r="J2257" s="412">
        <v>-5503051.7999999998</v>
      </c>
      <c r="K2257" s="385">
        <v>45824</v>
      </c>
      <c r="L2257" s="369" t="s">
        <v>3694</v>
      </c>
      <c r="M2257" s="390">
        <v>45824.7578125</v>
      </c>
      <c r="N2257" s="366" t="s">
        <v>356</v>
      </c>
      <c r="O2257" s="367" t="s">
        <v>364</v>
      </c>
      <c r="P2257" s="368" t="s">
        <v>2613</v>
      </c>
      <c r="Q2257" s="366" t="s">
        <v>2254</v>
      </c>
      <c r="R2257" s="366" t="s">
        <v>3693</v>
      </c>
      <c r="S2257" s="366">
        <v>530440</v>
      </c>
    </row>
    <row r="2258" spans="1:19" ht="45" hidden="1" outlineLevel="1">
      <c r="B2258" s="384">
        <v>2025</v>
      </c>
      <c r="C2258" s="384">
        <v>12</v>
      </c>
      <c r="D2258" s="367" t="s">
        <v>5</v>
      </c>
      <c r="E2258" s="367" t="s">
        <v>6</v>
      </c>
      <c r="F2258" s="389" t="s">
        <v>3681</v>
      </c>
      <c r="G2258" s="385">
        <v>45821</v>
      </c>
      <c r="H2258" s="367" t="s">
        <v>11</v>
      </c>
      <c r="I2258" s="368" t="str">
        <f>VLOOKUP(H2258,'Source Codes'!A$2:B$115,2,FALSE)</f>
        <v>AR Payments</v>
      </c>
      <c r="J2258" s="412">
        <v>1027693.96</v>
      </c>
      <c r="K2258" s="385">
        <v>45824</v>
      </c>
      <c r="L2258" s="369" t="s">
        <v>3696</v>
      </c>
      <c r="M2258" s="390">
        <v>45824.752314814818</v>
      </c>
      <c r="N2258" s="368" t="s">
        <v>2185</v>
      </c>
      <c r="O2258" s="368" t="s">
        <v>386</v>
      </c>
      <c r="P2258" s="368" t="str">
        <f>IF(J2258&gt;0,"Revenue",IF(J2258&lt;0,"Expense"))</f>
        <v>Revenue</v>
      </c>
      <c r="Q2258" s="366" t="s">
        <v>3695</v>
      </c>
      <c r="R2258" s="366" t="s">
        <v>3695</v>
      </c>
      <c r="S2258" s="366">
        <v>118500</v>
      </c>
    </row>
    <row r="2259" spans="1:19" ht="30" hidden="1" outlineLevel="1">
      <c r="B2259" s="384">
        <v>2025</v>
      </c>
      <c r="C2259" s="384">
        <v>12</v>
      </c>
      <c r="D2259" s="367" t="s">
        <v>5</v>
      </c>
      <c r="E2259" s="367" t="s">
        <v>6</v>
      </c>
      <c r="F2259" s="389" t="s">
        <v>3682</v>
      </c>
      <c r="G2259" s="385">
        <v>45810</v>
      </c>
      <c r="H2259" s="367" t="s">
        <v>11</v>
      </c>
      <c r="I2259" s="368" t="str">
        <f>VLOOKUP(H2259,'Source Codes'!A$2:B$115,2,FALSE)</f>
        <v>AR Payments</v>
      </c>
      <c r="J2259" s="412">
        <v>1391878</v>
      </c>
      <c r="K2259" s="385">
        <v>45824</v>
      </c>
      <c r="L2259" s="369" t="s">
        <v>3698</v>
      </c>
      <c r="M2259" s="390">
        <v>45824.752314814818</v>
      </c>
      <c r="N2259" s="368" t="s">
        <v>361</v>
      </c>
      <c r="O2259" s="368" t="s">
        <v>376</v>
      </c>
      <c r="P2259" s="368" t="s">
        <v>2290</v>
      </c>
      <c r="Q2259" s="366" t="s">
        <v>3271</v>
      </c>
      <c r="R2259" s="366" t="s">
        <v>3697</v>
      </c>
      <c r="S2259" s="366">
        <v>112100</v>
      </c>
    </row>
    <row r="2260" spans="1:19" ht="30" hidden="1" outlineLevel="1">
      <c r="B2260" s="384">
        <v>2025</v>
      </c>
      <c r="C2260" s="384">
        <v>12</v>
      </c>
      <c r="D2260" s="367" t="s">
        <v>5</v>
      </c>
      <c r="E2260" s="367" t="s">
        <v>6</v>
      </c>
      <c r="F2260" s="389" t="s">
        <v>3683</v>
      </c>
      <c r="G2260" s="385">
        <v>45817</v>
      </c>
      <c r="H2260" s="367" t="s">
        <v>12</v>
      </c>
      <c r="I2260" s="368" t="str">
        <f>VLOOKUP(H2260,'Source Codes'!A$2:B$115,2,FALSE)</f>
        <v>AR Direct Cash Journal</v>
      </c>
      <c r="J2260" s="412">
        <v>1560248.92</v>
      </c>
      <c r="K2260" s="385">
        <v>45824</v>
      </c>
      <c r="L2260" s="369" t="s">
        <v>3700</v>
      </c>
      <c r="M2260" s="390">
        <v>45824.752314814818</v>
      </c>
      <c r="N2260" s="368" t="s">
        <v>361</v>
      </c>
      <c r="O2260" s="368" t="s">
        <v>368</v>
      </c>
      <c r="P2260" s="368" t="s">
        <v>2290</v>
      </c>
      <c r="Q2260" s="366" t="s">
        <v>2177</v>
      </c>
      <c r="R2260" s="366" t="s">
        <v>3123</v>
      </c>
      <c r="S2260" s="366" t="s">
        <v>3699</v>
      </c>
    </row>
    <row r="2261" spans="1:19" ht="45" hidden="1" outlineLevel="1">
      <c r="B2261" s="384">
        <v>2025</v>
      </c>
      <c r="C2261" s="384">
        <v>12</v>
      </c>
      <c r="D2261" s="367" t="s">
        <v>5</v>
      </c>
      <c r="E2261" s="367" t="s">
        <v>6</v>
      </c>
      <c r="F2261" s="389" t="s">
        <v>3684</v>
      </c>
      <c r="G2261" s="385">
        <v>45820</v>
      </c>
      <c r="H2261" s="367" t="s">
        <v>12</v>
      </c>
      <c r="I2261" s="368" t="str">
        <f>VLOOKUP(H2261,'Source Codes'!A$2:B$115,2,FALSE)</f>
        <v>AR Direct Cash Journal</v>
      </c>
      <c r="J2261" s="412">
        <v>1760479.43</v>
      </c>
      <c r="K2261" s="385">
        <v>45824</v>
      </c>
      <c r="L2261" s="369" t="s">
        <v>3705</v>
      </c>
      <c r="M2261" s="390">
        <v>45824.752314814818</v>
      </c>
      <c r="N2261" s="368" t="s">
        <v>361</v>
      </c>
      <c r="O2261" s="368" t="s">
        <v>370</v>
      </c>
      <c r="P2261" s="368" t="s">
        <v>2290</v>
      </c>
      <c r="Q2261" s="366" t="s">
        <v>2264</v>
      </c>
      <c r="R2261" s="366" t="s">
        <v>2265</v>
      </c>
      <c r="S2261" s="366" t="s">
        <v>203</v>
      </c>
    </row>
    <row r="2262" spans="1:19" ht="30" hidden="1" outlineLevel="1">
      <c r="B2262" s="384">
        <v>2025</v>
      </c>
      <c r="C2262" s="384">
        <v>12</v>
      </c>
      <c r="D2262" s="367" t="s">
        <v>5</v>
      </c>
      <c r="E2262" s="367" t="s">
        <v>6</v>
      </c>
      <c r="F2262" s="389" t="s">
        <v>3685</v>
      </c>
      <c r="G2262" s="385">
        <v>45824</v>
      </c>
      <c r="H2262" s="367" t="s">
        <v>12</v>
      </c>
      <c r="I2262" s="368" t="str">
        <f>VLOOKUP(H2262,'Source Codes'!A$2:B$115,2,FALSE)</f>
        <v>AR Direct Cash Journal</v>
      </c>
      <c r="J2262" s="412">
        <v>2170818.94</v>
      </c>
      <c r="K2262" s="385">
        <v>45824</v>
      </c>
      <c r="L2262" s="369" t="s">
        <v>3701</v>
      </c>
      <c r="M2262" s="390">
        <v>45824.752314814818</v>
      </c>
      <c r="N2262" s="368" t="s">
        <v>361</v>
      </c>
      <c r="O2262" s="368" t="s">
        <v>370</v>
      </c>
      <c r="P2262" s="368" t="s">
        <v>2290</v>
      </c>
      <c r="Q2262" s="366" t="s">
        <v>2264</v>
      </c>
      <c r="R2262" s="366" t="s">
        <v>2265</v>
      </c>
      <c r="S2262" s="366" t="s">
        <v>3702</v>
      </c>
    </row>
    <row r="2263" spans="1:19" ht="30" hidden="1" outlineLevel="1">
      <c r="B2263" s="384">
        <v>2025</v>
      </c>
      <c r="C2263" s="384">
        <v>12</v>
      </c>
      <c r="D2263" s="367" t="s">
        <v>5</v>
      </c>
      <c r="E2263" s="367" t="s">
        <v>6</v>
      </c>
      <c r="F2263" s="389" t="s">
        <v>3686</v>
      </c>
      <c r="G2263" s="385">
        <v>45812</v>
      </c>
      <c r="H2263" s="367" t="s">
        <v>12</v>
      </c>
      <c r="I2263" s="368" t="str">
        <f>VLOOKUP(H2263,'Source Codes'!A$2:B$115,2,FALSE)</f>
        <v>AR Direct Cash Journal</v>
      </c>
      <c r="J2263" s="412">
        <v>8893412.9499999993</v>
      </c>
      <c r="K2263" s="385">
        <v>45824</v>
      </c>
      <c r="L2263" s="369" t="s">
        <v>3706</v>
      </c>
      <c r="M2263" s="390">
        <v>45824.752314814818</v>
      </c>
      <c r="N2263" s="368" t="s">
        <v>359</v>
      </c>
      <c r="O2263" s="368" t="s">
        <v>368</v>
      </c>
      <c r="P2263" s="368" t="s">
        <v>2290</v>
      </c>
      <c r="Q2263" s="366" t="s">
        <v>2177</v>
      </c>
      <c r="R2263" s="366" t="s">
        <v>2214</v>
      </c>
      <c r="S2263" s="366" t="s">
        <v>3703</v>
      </c>
    </row>
    <row r="2264" spans="1:19" ht="30" hidden="1" outlineLevel="1">
      <c r="B2264" s="384">
        <v>2025</v>
      </c>
      <c r="C2264" s="384">
        <v>12</v>
      </c>
      <c r="D2264" s="367" t="s">
        <v>5</v>
      </c>
      <c r="E2264" s="367" t="s">
        <v>6</v>
      </c>
      <c r="F2264" s="389" t="s">
        <v>3687</v>
      </c>
      <c r="G2264" s="385">
        <v>45813</v>
      </c>
      <c r="H2264" s="367" t="s">
        <v>9</v>
      </c>
      <c r="I2264" s="368" t="str">
        <f>VLOOKUP(H2264,'Source Codes'!A$2:B$115,2,FALSE)</f>
        <v>On Line Journal Entries</v>
      </c>
      <c r="J2264" s="412">
        <v>9033320.4499999993</v>
      </c>
      <c r="K2264" s="385">
        <v>45824</v>
      </c>
      <c r="L2264" s="369" t="s">
        <v>344</v>
      </c>
      <c r="M2264" s="390">
        <v>45824.47383101852</v>
      </c>
      <c r="N2264" s="368" t="s">
        <v>359</v>
      </c>
      <c r="O2264" s="368" t="s">
        <v>364</v>
      </c>
      <c r="P2264" s="368" t="s">
        <v>2290</v>
      </c>
      <c r="Q2264" s="366" t="s">
        <v>2232</v>
      </c>
      <c r="R2264" s="366" t="s">
        <v>2232</v>
      </c>
      <c r="S2264" s="366" t="s">
        <v>2533</v>
      </c>
    </row>
    <row r="2265" spans="1:19" ht="30" hidden="1" outlineLevel="1">
      <c r="B2265" s="384">
        <v>2025</v>
      </c>
      <c r="C2265" s="384">
        <v>12</v>
      </c>
      <c r="D2265" s="367" t="s">
        <v>5</v>
      </c>
      <c r="E2265" s="367" t="s">
        <v>6</v>
      </c>
      <c r="F2265" s="389" t="s">
        <v>3688</v>
      </c>
      <c r="G2265" s="385">
        <v>45812</v>
      </c>
      <c r="H2265" s="367" t="s">
        <v>9</v>
      </c>
      <c r="I2265" s="368" t="str">
        <f>VLOOKUP(H2265,'Source Codes'!A$2:B$115,2,FALSE)</f>
        <v>On Line Journal Entries</v>
      </c>
      <c r="J2265" s="412">
        <v>8982712</v>
      </c>
      <c r="K2265" s="385">
        <v>45824</v>
      </c>
      <c r="L2265" s="369" t="s">
        <v>344</v>
      </c>
      <c r="M2265" s="390">
        <v>45824.474652777775</v>
      </c>
      <c r="N2265" s="368" t="s">
        <v>359</v>
      </c>
      <c r="O2265" s="368" t="s">
        <v>364</v>
      </c>
      <c r="P2265" s="368" t="s">
        <v>2290</v>
      </c>
      <c r="Q2265" s="366" t="s">
        <v>2232</v>
      </c>
      <c r="R2265" s="366" t="s">
        <v>2232</v>
      </c>
      <c r="S2265" s="366" t="s">
        <v>3704</v>
      </c>
    </row>
    <row r="2266" spans="1:19" ht="30" hidden="1" outlineLevel="1">
      <c r="B2266" s="384">
        <v>2025</v>
      </c>
      <c r="C2266" s="384">
        <v>12</v>
      </c>
      <c r="D2266" s="367" t="s">
        <v>5</v>
      </c>
      <c r="E2266" s="367" t="s">
        <v>6</v>
      </c>
      <c r="F2266" s="389" t="s">
        <v>3689</v>
      </c>
      <c r="G2266" s="385">
        <v>45809</v>
      </c>
      <c r="H2266" s="367" t="s">
        <v>9</v>
      </c>
      <c r="I2266" s="368" t="str">
        <f>VLOOKUP(H2266,'Source Codes'!A$2:B$115,2,FALSE)</f>
        <v>On Line Journal Entries</v>
      </c>
      <c r="J2266" s="412">
        <v>5341238</v>
      </c>
      <c r="K2266" s="385">
        <v>45824</v>
      </c>
      <c r="L2266" s="369" t="s">
        <v>334</v>
      </c>
      <c r="M2266" s="390">
        <v>45824.470150462963</v>
      </c>
      <c r="N2266" s="368" t="s">
        <v>356</v>
      </c>
      <c r="O2266" s="368" t="s">
        <v>364</v>
      </c>
      <c r="P2266" s="368" t="s">
        <v>2290</v>
      </c>
      <c r="Q2266" s="366" t="s">
        <v>2232</v>
      </c>
      <c r="R2266" s="366" t="s">
        <v>2232</v>
      </c>
      <c r="S2266" s="366">
        <v>750741</v>
      </c>
    </row>
    <row r="2267" spans="1:19" ht="30" hidden="1" outlineLevel="1">
      <c r="B2267" s="384">
        <v>2025</v>
      </c>
      <c r="C2267" s="384">
        <v>12</v>
      </c>
      <c r="D2267" s="367" t="s">
        <v>5</v>
      </c>
      <c r="E2267" s="367" t="s">
        <v>6</v>
      </c>
      <c r="F2267" s="389" t="s">
        <v>3690</v>
      </c>
      <c r="G2267" s="385">
        <v>45812</v>
      </c>
      <c r="H2267" s="367" t="s">
        <v>9</v>
      </c>
      <c r="I2267" s="368" t="str">
        <f>VLOOKUP(H2267,'Source Codes'!A$2:B$115,2,FALSE)</f>
        <v>On Line Journal Entries</v>
      </c>
      <c r="J2267" s="412">
        <v>2675921</v>
      </c>
      <c r="K2267" s="385">
        <v>45824</v>
      </c>
      <c r="L2267" s="369" t="s">
        <v>344</v>
      </c>
      <c r="M2267" s="390">
        <v>45824.475416666668</v>
      </c>
      <c r="N2267" s="368" t="s">
        <v>359</v>
      </c>
      <c r="O2267" s="368" t="s">
        <v>364</v>
      </c>
      <c r="P2267" s="368" t="s">
        <v>2290</v>
      </c>
      <c r="Q2267" s="366" t="s">
        <v>2232</v>
      </c>
      <c r="R2267" s="366" t="s">
        <v>2232</v>
      </c>
      <c r="S2267" s="366" t="s">
        <v>3704</v>
      </c>
    </row>
    <row r="2268" spans="1:19" ht="15" hidden="1" outlineLevel="1">
      <c r="B2268" s="384">
        <v>2025</v>
      </c>
      <c r="C2268" s="384">
        <v>12</v>
      </c>
      <c r="D2268" s="367" t="s">
        <v>5</v>
      </c>
      <c r="E2268" s="367" t="s">
        <v>6</v>
      </c>
      <c r="F2268" s="389" t="s">
        <v>3691</v>
      </c>
      <c r="G2268" s="385">
        <v>45810</v>
      </c>
      <c r="H2268" s="367" t="s">
        <v>13</v>
      </c>
      <c r="I2268" s="368" t="str">
        <f>VLOOKUP(H2268,'Source Codes'!A$2:B$115,2,FALSE)</f>
        <v>C-IV Voucher/Payments/EBT</v>
      </c>
      <c r="J2268" s="412">
        <v>-9866821.1099999994</v>
      </c>
      <c r="K2268" s="385">
        <v>45824</v>
      </c>
      <c r="L2268" s="369" t="s">
        <v>3692</v>
      </c>
      <c r="M2268" s="390">
        <v>45824.472766203704</v>
      </c>
      <c r="N2268" s="368" t="s">
        <v>359</v>
      </c>
      <c r="O2268" s="368" t="s">
        <v>364</v>
      </c>
      <c r="P2268" s="368" t="s">
        <v>2613</v>
      </c>
      <c r="Q2268" s="366" t="s">
        <v>2204</v>
      </c>
      <c r="R2268" s="393">
        <v>45809</v>
      </c>
      <c r="S2268" s="366">
        <v>530480</v>
      </c>
    </row>
    <row r="2269" spans="1:19" ht="12.75" customHeight="1" collapsed="1">
      <c r="I2269" s="368"/>
      <c r="J2269" s="413">
        <f>SUM(J2257:J2268)</f>
        <v>27467850.739999995</v>
      </c>
      <c r="P2269" s="368"/>
    </row>
    <row r="2270" spans="1:19" ht="12.75" customHeight="1">
      <c r="I2270" s="368"/>
      <c r="J2270" s="416"/>
      <c r="P2270" s="368"/>
    </row>
    <row r="2271" spans="1:19" ht="12.75" customHeight="1">
      <c r="A2271" s="378" t="s">
        <v>3707</v>
      </c>
      <c r="I2271" s="368"/>
      <c r="P2271" s="368"/>
    </row>
    <row r="2272" spans="1:19" ht="30" hidden="1" outlineLevel="1">
      <c r="B2272" s="384">
        <v>2025</v>
      </c>
      <c r="C2272" s="384">
        <v>12</v>
      </c>
      <c r="D2272" s="367" t="s">
        <v>5</v>
      </c>
      <c r="E2272" s="367" t="s">
        <v>6</v>
      </c>
      <c r="F2272" s="389" t="s">
        <v>3708</v>
      </c>
      <c r="G2272" s="385">
        <v>45828</v>
      </c>
      <c r="H2272" s="367" t="s">
        <v>14</v>
      </c>
      <c r="I2272" s="368" t="str">
        <f>VLOOKUP(H2272,'Source Codes'!A$2:B$115,2,FALSE)</f>
        <v>AP Warrant Issuance</v>
      </c>
      <c r="J2272" s="412">
        <v>-2328604.4700000002</v>
      </c>
      <c r="K2272" s="385">
        <v>45825</v>
      </c>
      <c r="L2272" s="369" t="s">
        <v>3722</v>
      </c>
      <c r="M2272" s="390">
        <v>45825.759189814817</v>
      </c>
      <c r="N2272" s="368" t="s">
        <v>356</v>
      </c>
      <c r="O2272" s="368" t="s">
        <v>368</v>
      </c>
      <c r="P2272" s="368" t="s">
        <v>2613</v>
      </c>
      <c r="Q2272" s="366" t="s">
        <v>2154</v>
      </c>
      <c r="R2272" s="393" t="s">
        <v>2154</v>
      </c>
      <c r="S2272" s="366" t="s">
        <v>303</v>
      </c>
    </row>
    <row r="2273" spans="1:19" ht="45" hidden="1" outlineLevel="1">
      <c r="B2273" s="384">
        <v>2025</v>
      </c>
      <c r="C2273" s="384">
        <v>12</v>
      </c>
      <c r="D2273" s="367" t="s">
        <v>5</v>
      </c>
      <c r="E2273" s="367" t="s">
        <v>6</v>
      </c>
      <c r="F2273" s="389" t="s">
        <v>3709</v>
      </c>
      <c r="G2273" s="385">
        <v>45825</v>
      </c>
      <c r="H2273" s="367" t="s">
        <v>11</v>
      </c>
      <c r="I2273" s="368" t="str">
        <f>VLOOKUP(H2273,'Source Codes'!A$2:B$115,2,FALSE)</f>
        <v>AR Payments</v>
      </c>
      <c r="J2273" s="412">
        <v>1059152.2</v>
      </c>
      <c r="K2273" s="385">
        <v>45825</v>
      </c>
      <c r="L2273" s="369" t="s">
        <v>3716</v>
      </c>
      <c r="M2273" s="390">
        <v>45825.752372685187</v>
      </c>
      <c r="N2273" s="368" t="s">
        <v>361</v>
      </c>
      <c r="O2273" s="368" t="s">
        <v>376</v>
      </c>
      <c r="P2273" s="368" t="str">
        <f>IF(J2273&gt;0,"Revenue",IF(J2273&lt;0,"Expense"))</f>
        <v>Revenue</v>
      </c>
      <c r="Q2273" s="366" t="s">
        <v>3715</v>
      </c>
      <c r="R2273" s="393" t="s">
        <v>3715</v>
      </c>
      <c r="S2273" s="366">
        <v>112100</v>
      </c>
    </row>
    <row r="2274" spans="1:19" ht="45" hidden="1" outlineLevel="1">
      <c r="B2274" s="384">
        <v>2025</v>
      </c>
      <c r="C2274" s="384">
        <v>12</v>
      </c>
      <c r="D2274" s="367" t="s">
        <v>5</v>
      </c>
      <c r="E2274" s="367" t="s">
        <v>6</v>
      </c>
      <c r="F2274" s="389" t="s">
        <v>3710</v>
      </c>
      <c r="G2274" s="385">
        <v>45824</v>
      </c>
      <c r="H2274" s="367" t="s">
        <v>11</v>
      </c>
      <c r="I2274" s="368" t="str">
        <f>VLOOKUP(H2274,'Source Codes'!A$2:B$115,2,FALSE)</f>
        <v>AR Payments</v>
      </c>
      <c r="J2274" s="412">
        <v>1649155.92</v>
      </c>
      <c r="K2274" s="385">
        <v>45825</v>
      </c>
      <c r="L2274" s="369" t="s">
        <v>3717</v>
      </c>
      <c r="M2274" s="390">
        <v>45825.752372685187</v>
      </c>
      <c r="N2274" s="368" t="s">
        <v>356</v>
      </c>
      <c r="O2274" s="368" t="s">
        <v>357</v>
      </c>
      <c r="P2274" s="368" t="str">
        <f>IF(J2274&gt;0,"Revenue",IF(J2274&lt;0,"Expense"))</f>
        <v>Revenue</v>
      </c>
      <c r="Q2274" s="366" t="s">
        <v>2157</v>
      </c>
      <c r="R2274" s="393" t="s">
        <v>2857</v>
      </c>
      <c r="S2274" s="366" t="s">
        <v>2531</v>
      </c>
    </row>
    <row r="2275" spans="1:19" ht="45" hidden="1" outlineLevel="1">
      <c r="B2275" s="384">
        <v>2025</v>
      </c>
      <c r="C2275" s="384">
        <v>12</v>
      </c>
      <c r="D2275" s="367" t="s">
        <v>5</v>
      </c>
      <c r="E2275" s="367" t="s">
        <v>6</v>
      </c>
      <c r="F2275" s="389" t="s">
        <v>3711</v>
      </c>
      <c r="G2275" s="385">
        <v>45825</v>
      </c>
      <c r="H2275" s="367" t="s">
        <v>12</v>
      </c>
      <c r="I2275" s="368" t="str">
        <f>VLOOKUP(H2275,'Source Codes'!A$2:B$115,2,FALSE)</f>
        <v>AR Direct Cash Journal</v>
      </c>
      <c r="J2275" s="412">
        <v>1895589.57</v>
      </c>
      <c r="K2275" s="385">
        <v>45825</v>
      </c>
      <c r="L2275" s="369" t="s">
        <v>3719</v>
      </c>
      <c r="M2275" s="390">
        <v>45825.752372685187</v>
      </c>
      <c r="N2275" s="368" t="s">
        <v>2185</v>
      </c>
      <c r="O2275" s="368" t="s">
        <v>375</v>
      </c>
      <c r="P2275" s="368" t="str">
        <f>IF(J2275&gt;0,"Revenue",IF(J2275&lt;0,"Expense"))</f>
        <v>Revenue</v>
      </c>
      <c r="Q2275" s="366" t="s">
        <v>3462</v>
      </c>
      <c r="R2275" s="393" t="s">
        <v>3462</v>
      </c>
      <c r="S2275" s="366" t="s">
        <v>3718</v>
      </c>
    </row>
    <row r="2276" spans="1:19" ht="30" hidden="1" outlineLevel="1">
      <c r="B2276" s="384">
        <v>2025</v>
      </c>
      <c r="C2276" s="384">
        <v>12</v>
      </c>
      <c r="D2276" s="367" t="s">
        <v>5</v>
      </c>
      <c r="E2276" s="367" t="s">
        <v>6</v>
      </c>
      <c r="F2276" s="389" t="s">
        <v>3712</v>
      </c>
      <c r="G2276" s="385">
        <v>45820</v>
      </c>
      <c r="H2276" s="367" t="s">
        <v>12</v>
      </c>
      <c r="I2276" s="368" t="str">
        <f>VLOOKUP(H2276,'Source Codes'!A$2:B$115,2,FALSE)</f>
        <v>AR Direct Cash Journal</v>
      </c>
      <c r="J2276" s="412">
        <v>8431784.1300000008</v>
      </c>
      <c r="K2276" s="385">
        <v>45825</v>
      </c>
      <c r="L2276" s="369" t="s">
        <v>3721</v>
      </c>
      <c r="M2276" s="390">
        <v>45825.752372685187</v>
      </c>
      <c r="N2276" s="368" t="s">
        <v>356</v>
      </c>
      <c r="O2276" s="368" t="s">
        <v>368</v>
      </c>
      <c r="P2276" s="368" t="str">
        <f>IF(J2276&gt;0,"Revenue",IF(J2276&lt;0,"Expense"))</f>
        <v>Revenue</v>
      </c>
      <c r="Q2276" s="366" t="s">
        <v>2177</v>
      </c>
      <c r="R2276" s="365" t="s">
        <v>3123</v>
      </c>
      <c r="S2276" s="366" t="s">
        <v>3720</v>
      </c>
    </row>
    <row r="2277" spans="1:19" ht="15" hidden="1" outlineLevel="1">
      <c r="B2277" s="384">
        <v>2025</v>
      </c>
      <c r="C2277" s="384">
        <v>12</v>
      </c>
      <c r="D2277" s="367" t="s">
        <v>5</v>
      </c>
      <c r="E2277" s="367" t="s">
        <v>6</v>
      </c>
      <c r="F2277" s="389" t="s">
        <v>3713</v>
      </c>
      <c r="G2277" s="385">
        <v>45819</v>
      </c>
      <c r="H2277" s="367" t="s">
        <v>7</v>
      </c>
      <c r="I2277" s="368" t="str">
        <f>VLOOKUP(H2277,'Source Codes'!A$2:B$115,2,FALSE)</f>
        <v>HRMS Interface Journals</v>
      </c>
      <c r="J2277" s="412">
        <v>-2778600.94</v>
      </c>
      <c r="K2277" s="385">
        <v>45825</v>
      </c>
      <c r="L2277" s="369" t="s">
        <v>409</v>
      </c>
      <c r="M2277" s="390">
        <v>45825.437557870369</v>
      </c>
      <c r="N2277" s="368" t="s">
        <v>378</v>
      </c>
      <c r="O2277" s="368" t="s">
        <v>379</v>
      </c>
      <c r="P2277" s="368" t="s">
        <v>2613</v>
      </c>
      <c r="Q2277" s="366" t="s">
        <v>379</v>
      </c>
      <c r="R2277" s="366" t="s">
        <v>3723</v>
      </c>
      <c r="S2277" s="366">
        <v>513120</v>
      </c>
    </row>
    <row r="2278" spans="1:19" ht="15" hidden="1" outlineLevel="1">
      <c r="B2278" s="384">
        <v>2025</v>
      </c>
      <c r="C2278" s="384">
        <v>12</v>
      </c>
      <c r="D2278" s="367" t="s">
        <v>5</v>
      </c>
      <c r="E2278" s="367" t="s">
        <v>6</v>
      </c>
      <c r="F2278" s="389" t="s">
        <v>3714</v>
      </c>
      <c r="G2278" s="385">
        <v>45819</v>
      </c>
      <c r="H2278" s="367" t="s">
        <v>7</v>
      </c>
      <c r="I2278" s="368" t="str">
        <f>VLOOKUP(H2278,'Source Codes'!A$2:B$115,2,FALSE)</f>
        <v>HRMS Interface Journals</v>
      </c>
      <c r="J2278" s="412">
        <v>-14146220.25</v>
      </c>
      <c r="K2278" s="385">
        <v>45825</v>
      </c>
      <c r="L2278" s="369" t="s">
        <v>407</v>
      </c>
      <c r="M2278" s="390">
        <v>45825.433032407411</v>
      </c>
      <c r="N2278" s="368" t="s">
        <v>378</v>
      </c>
      <c r="O2278" s="368" t="s">
        <v>379</v>
      </c>
      <c r="P2278" s="368" t="s">
        <v>2613</v>
      </c>
      <c r="Q2278" s="366" t="s">
        <v>379</v>
      </c>
      <c r="R2278" s="366" t="s">
        <v>3723</v>
      </c>
      <c r="S2278" s="366" t="s">
        <v>203</v>
      </c>
    </row>
    <row r="2279" spans="1:19" ht="12.75" customHeight="1" collapsed="1">
      <c r="J2279" s="413">
        <f>SUM(J2272:J2278)</f>
        <v>-6217743.839999998</v>
      </c>
    </row>
    <row r="2281" spans="1:19" ht="12.75" customHeight="1">
      <c r="A2281" s="378" t="s">
        <v>3724</v>
      </c>
    </row>
    <row r="2282" spans="1:19" ht="48" hidden="1" customHeight="1" outlineLevel="1">
      <c r="B2282" s="384">
        <v>2025</v>
      </c>
      <c r="C2282" s="384">
        <v>12</v>
      </c>
      <c r="D2282" s="367" t="s">
        <v>5</v>
      </c>
      <c r="E2282" s="367" t="s">
        <v>6</v>
      </c>
      <c r="F2282" s="389" t="s">
        <v>3725</v>
      </c>
      <c r="G2282" s="385">
        <v>45826</v>
      </c>
      <c r="H2282" s="367" t="s">
        <v>14</v>
      </c>
      <c r="I2282" s="368" t="str">
        <f>VLOOKUP(H2282,'Source Codes'!A$2:B$115,2,FALSE)</f>
        <v>AP Warrant Issuance</v>
      </c>
      <c r="J2282" s="412">
        <v>-1798073.82</v>
      </c>
      <c r="K2282" s="385">
        <v>45826</v>
      </c>
      <c r="L2282" s="369" t="s">
        <v>3731</v>
      </c>
      <c r="M2282" s="390">
        <v>45826.759143518517</v>
      </c>
      <c r="N2282" s="368" t="s">
        <v>356</v>
      </c>
      <c r="O2282" s="368" t="s">
        <v>364</v>
      </c>
      <c r="P2282" s="368" t="s">
        <v>2613</v>
      </c>
      <c r="Q2282" s="366" t="s">
        <v>3732</v>
      </c>
      <c r="R2282" s="366" t="s">
        <v>3732</v>
      </c>
      <c r="S2282" s="366" t="s">
        <v>303</v>
      </c>
    </row>
    <row r="2283" spans="1:19" ht="45" hidden="1" customHeight="1" outlineLevel="1">
      <c r="B2283" s="384">
        <v>2025</v>
      </c>
      <c r="C2283" s="384">
        <v>12</v>
      </c>
      <c r="D2283" s="367" t="s">
        <v>5</v>
      </c>
      <c r="E2283" s="367" t="s">
        <v>6</v>
      </c>
      <c r="F2283" s="389" t="s">
        <v>3726</v>
      </c>
      <c r="G2283" s="385">
        <v>45826</v>
      </c>
      <c r="H2283" s="367" t="s">
        <v>12</v>
      </c>
      <c r="I2283" s="368" t="str">
        <f>VLOOKUP(H2283,'Source Codes'!A$2:B$115,2,FALSE)</f>
        <v>AR Direct Cash Journal</v>
      </c>
      <c r="J2283" s="412">
        <v>1342968.7</v>
      </c>
      <c r="K2283" s="385">
        <v>45826</v>
      </c>
      <c r="L2283" s="369" t="s">
        <v>3733</v>
      </c>
      <c r="M2283" s="390">
        <v>45826.75267361111</v>
      </c>
      <c r="N2283" s="368" t="s">
        <v>387</v>
      </c>
      <c r="O2283" s="368" t="s">
        <v>390</v>
      </c>
      <c r="P2283" s="368" t="s">
        <v>2290</v>
      </c>
      <c r="Q2283" s="366" t="s">
        <v>3571</v>
      </c>
      <c r="R2283" s="366" t="s">
        <v>3734</v>
      </c>
      <c r="S2283" s="366">
        <v>752000</v>
      </c>
    </row>
    <row r="2284" spans="1:19" ht="39.75" hidden="1" customHeight="1" outlineLevel="1">
      <c r="B2284" s="384">
        <v>2025</v>
      </c>
      <c r="C2284" s="384">
        <v>12</v>
      </c>
      <c r="D2284" s="367" t="s">
        <v>5</v>
      </c>
      <c r="E2284" s="367" t="s">
        <v>6</v>
      </c>
      <c r="F2284" s="389" t="s">
        <v>3727</v>
      </c>
      <c r="G2284" s="385">
        <v>45818</v>
      </c>
      <c r="H2284" s="367" t="s">
        <v>12</v>
      </c>
      <c r="I2284" s="368" t="str">
        <f>VLOOKUP(H2284,'Source Codes'!A$2:B$115,2,FALSE)</f>
        <v>AR Direct Cash Journal</v>
      </c>
      <c r="J2284" s="412">
        <v>1292060.02</v>
      </c>
      <c r="K2284" s="385">
        <v>45826</v>
      </c>
      <c r="L2284" s="369" t="s">
        <v>3735</v>
      </c>
      <c r="M2284" s="390">
        <v>45826.75267361111</v>
      </c>
      <c r="N2284" s="368" t="s">
        <v>2185</v>
      </c>
      <c r="O2284" s="368" t="s">
        <v>357</v>
      </c>
      <c r="P2284" s="368" t="s">
        <v>2290</v>
      </c>
      <c r="Q2284" s="366" t="s">
        <v>3740</v>
      </c>
      <c r="R2284" s="366" t="s">
        <v>3736</v>
      </c>
      <c r="S2284" s="366" t="s">
        <v>3737</v>
      </c>
    </row>
    <row r="2285" spans="1:19" ht="30" hidden="1" outlineLevel="1">
      <c r="B2285" s="384">
        <v>2025</v>
      </c>
      <c r="C2285" s="384">
        <v>12</v>
      </c>
      <c r="D2285" s="367" t="s">
        <v>5</v>
      </c>
      <c r="E2285" s="367" t="s">
        <v>6</v>
      </c>
      <c r="F2285" s="389" t="s">
        <v>3728</v>
      </c>
      <c r="G2285" s="385">
        <v>45825</v>
      </c>
      <c r="H2285" s="367" t="s">
        <v>11</v>
      </c>
      <c r="I2285" s="368" t="str">
        <f>VLOOKUP(H2285,'Source Codes'!A$2:B$115,2,FALSE)</f>
        <v>AR Payments</v>
      </c>
      <c r="J2285" s="412">
        <v>1831108.64</v>
      </c>
      <c r="K2285" s="385">
        <v>45826</v>
      </c>
      <c r="L2285" s="369" t="s">
        <v>4095</v>
      </c>
      <c r="M2285" s="390">
        <v>45826.75267361111</v>
      </c>
      <c r="N2285" s="368" t="s">
        <v>372</v>
      </c>
      <c r="O2285" s="368" t="s">
        <v>362</v>
      </c>
      <c r="P2285" s="368" t="s">
        <v>2290</v>
      </c>
      <c r="Q2285" s="366" t="s">
        <v>2360</v>
      </c>
      <c r="R2285" s="366" t="s">
        <v>3736</v>
      </c>
      <c r="S2285" s="366" t="s">
        <v>2361</v>
      </c>
    </row>
    <row r="2286" spans="1:19" ht="42" hidden="1" customHeight="1" outlineLevel="1">
      <c r="B2286" s="384">
        <v>2025</v>
      </c>
      <c r="C2286" s="384">
        <v>12</v>
      </c>
      <c r="D2286" s="367" t="s">
        <v>5</v>
      </c>
      <c r="E2286" s="367" t="s">
        <v>6</v>
      </c>
      <c r="F2286" s="389" t="s">
        <v>3729</v>
      </c>
      <c r="G2286" s="385">
        <v>45813</v>
      </c>
      <c r="H2286" s="367" t="s">
        <v>11</v>
      </c>
      <c r="I2286" s="368" t="str">
        <f>VLOOKUP(H2286,'Source Codes'!A$2:B$115,2,FALSE)</f>
        <v>AR Payments</v>
      </c>
      <c r="J2286" s="412">
        <v>3935795.25</v>
      </c>
      <c r="K2286" s="385">
        <v>45826</v>
      </c>
      <c r="L2286" s="369" t="s">
        <v>3738</v>
      </c>
      <c r="M2286" s="390">
        <v>45826.75267361111</v>
      </c>
      <c r="N2286" s="368" t="s">
        <v>356</v>
      </c>
      <c r="O2286" s="368" t="s">
        <v>357</v>
      </c>
      <c r="P2286" s="368" t="s">
        <v>2290</v>
      </c>
      <c r="Q2286" s="366" t="s">
        <v>2157</v>
      </c>
      <c r="R2286" s="366" t="s">
        <v>2857</v>
      </c>
      <c r="S2286" s="366" t="s">
        <v>2231</v>
      </c>
    </row>
    <row r="2287" spans="1:19" ht="45" hidden="1" customHeight="1" outlineLevel="1">
      <c r="B2287" s="384">
        <v>2025</v>
      </c>
      <c r="C2287" s="384">
        <v>12</v>
      </c>
      <c r="D2287" s="367" t="s">
        <v>5</v>
      </c>
      <c r="E2287" s="367" t="s">
        <v>6</v>
      </c>
      <c r="F2287" s="389" t="s">
        <v>3730</v>
      </c>
      <c r="G2287" s="385">
        <v>45824</v>
      </c>
      <c r="H2287" s="367" t="s">
        <v>11</v>
      </c>
      <c r="I2287" s="368" t="str">
        <f>VLOOKUP(H2287,'Source Codes'!A$2:B$115,2,FALSE)</f>
        <v>AR Payments</v>
      </c>
      <c r="J2287" s="412">
        <v>2988576.2</v>
      </c>
      <c r="K2287" s="385">
        <v>45826</v>
      </c>
      <c r="L2287" s="369" t="s">
        <v>3739</v>
      </c>
      <c r="M2287" s="390">
        <v>45826.75267361111</v>
      </c>
      <c r="N2287" s="368" t="s">
        <v>356</v>
      </c>
      <c r="O2287" s="368" t="s">
        <v>357</v>
      </c>
      <c r="P2287" s="368" t="s">
        <v>2290</v>
      </c>
      <c r="Q2287" s="366" t="s">
        <v>2157</v>
      </c>
      <c r="R2287" s="366" t="s">
        <v>2857</v>
      </c>
      <c r="S2287" s="366" t="s">
        <v>2231</v>
      </c>
    </row>
    <row r="2288" spans="1:19" ht="12.75" customHeight="1" collapsed="1">
      <c r="I2288" s="368"/>
      <c r="J2288" s="413">
        <f>SUM(J2282:J2287)</f>
        <v>9592434.9900000002</v>
      </c>
    </row>
    <row r="2289" spans="1:19" ht="12.75" customHeight="1">
      <c r="A2289" s="378" t="s">
        <v>3741</v>
      </c>
      <c r="I2289" s="368"/>
    </row>
    <row r="2290" spans="1:19" ht="45" hidden="1" customHeight="1" outlineLevel="1">
      <c r="B2290" s="384">
        <v>2025</v>
      </c>
      <c r="C2290" s="384">
        <v>12</v>
      </c>
      <c r="D2290" s="367" t="s">
        <v>5</v>
      </c>
      <c r="E2290" s="367" t="s">
        <v>6</v>
      </c>
      <c r="F2290" s="389" t="s">
        <v>3742</v>
      </c>
      <c r="G2290" s="385">
        <v>45828</v>
      </c>
      <c r="H2290" s="367" t="s">
        <v>14</v>
      </c>
      <c r="I2290" s="368" t="str">
        <f>VLOOKUP(H2290,'Source Codes'!A$2:B$115,2,FALSE)</f>
        <v>AP Warrant Issuance</v>
      </c>
      <c r="J2290" s="422">
        <v>-1070943.3400000001</v>
      </c>
      <c r="K2290" s="385">
        <v>45828</v>
      </c>
      <c r="L2290" s="369" t="s">
        <v>3752</v>
      </c>
      <c r="M2290" s="390">
        <v>45828.759629629632</v>
      </c>
      <c r="N2290" s="368" t="s">
        <v>356</v>
      </c>
      <c r="O2290" s="368" t="s">
        <v>362</v>
      </c>
      <c r="P2290" s="368" t="str">
        <f>IF(J2290&gt;0,"Revenue",IF(J2290&lt;0,"Expense"))</f>
        <v>Expense</v>
      </c>
      <c r="Q2290" s="366" t="s">
        <v>2262</v>
      </c>
      <c r="R2290" s="366" t="s">
        <v>2262</v>
      </c>
      <c r="S2290" s="366" t="s">
        <v>203</v>
      </c>
    </row>
    <row r="2291" spans="1:19" ht="45" hidden="1" customHeight="1" outlineLevel="1">
      <c r="B2291" s="384">
        <v>2025</v>
      </c>
      <c r="C2291" s="384">
        <v>12</v>
      </c>
      <c r="D2291" s="367" t="s">
        <v>5</v>
      </c>
      <c r="E2291" s="367" t="s">
        <v>6</v>
      </c>
      <c r="F2291" s="389" t="s">
        <v>3743</v>
      </c>
      <c r="G2291" s="385">
        <v>45825</v>
      </c>
      <c r="H2291" s="367" t="s">
        <v>12</v>
      </c>
      <c r="I2291" s="368" t="str">
        <f>VLOOKUP(H2291,'Source Codes'!A$2:B$115,2,FALSE)</f>
        <v>AR Direct Cash Journal</v>
      </c>
      <c r="J2291" s="422">
        <v>3605245.19</v>
      </c>
      <c r="K2291" s="385">
        <v>45828</v>
      </c>
      <c r="L2291" s="369" t="s">
        <v>3753</v>
      </c>
      <c r="M2291" s="390">
        <v>45828.752060185187</v>
      </c>
      <c r="N2291" s="368" t="s">
        <v>356</v>
      </c>
      <c r="O2291" s="368" t="s">
        <v>370</v>
      </c>
      <c r="P2291" s="368" t="str">
        <f>IF(J2291&gt;0,"Revenue",IF(J2291&lt;0,"Expense"))</f>
        <v>Revenue</v>
      </c>
      <c r="Q2291" s="366" t="s">
        <v>2264</v>
      </c>
      <c r="R2291" s="366" t="s">
        <v>2265</v>
      </c>
      <c r="S2291" s="366" t="s">
        <v>3744</v>
      </c>
    </row>
    <row r="2292" spans="1:19" ht="45" hidden="1" customHeight="1" outlineLevel="1">
      <c r="B2292" s="384">
        <v>2025</v>
      </c>
      <c r="C2292" s="384">
        <v>12</v>
      </c>
      <c r="D2292" s="367" t="s">
        <v>5</v>
      </c>
      <c r="E2292" s="367" t="s">
        <v>6</v>
      </c>
      <c r="F2292" s="389" t="s">
        <v>3745</v>
      </c>
      <c r="G2292" s="385">
        <v>45824</v>
      </c>
      <c r="H2292" s="367" t="s">
        <v>9</v>
      </c>
      <c r="I2292" s="368" t="str">
        <f>VLOOKUP(H2292,'Source Codes'!A$2:B$115,2,FALSE)</f>
        <v>On Line Journal Entries</v>
      </c>
      <c r="J2292" s="422">
        <v>2614829.5699999998</v>
      </c>
      <c r="K2292" s="385">
        <v>45828</v>
      </c>
      <c r="L2292" s="369" t="s">
        <v>3747</v>
      </c>
      <c r="M2292" s="390">
        <v>45828.870081018518</v>
      </c>
      <c r="N2292" s="368" t="s">
        <v>2185</v>
      </c>
      <c r="O2292" s="368" t="s">
        <v>364</v>
      </c>
      <c r="P2292" s="368" t="str">
        <f>IF(J2292&gt;0,"Revenue",IF(J2292&lt;0,"Expense"))</f>
        <v>Revenue</v>
      </c>
      <c r="Q2292" s="366" t="s">
        <v>2234</v>
      </c>
      <c r="R2292" s="366" t="s">
        <v>3749</v>
      </c>
      <c r="S2292" s="366">
        <v>530440</v>
      </c>
    </row>
    <row r="2293" spans="1:19" ht="45" hidden="1" customHeight="1" outlineLevel="1">
      <c r="B2293" s="384">
        <v>2025</v>
      </c>
      <c r="C2293" s="384">
        <v>12</v>
      </c>
      <c r="D2293" s="367" t="s">
        <v>5</v>
      </c>
      <c r="E2293" s="367" t="s">
        <v>6</v>
      </c>
      <c r="F2293" s="389" t="s">
        <v>3746</v>
      </c>
      <c r="G2293" s="385">
        <v>45824</v>
      </c>
      <c r="H2293" s="367" t="s">
        <v>9</v>
      </c>
      <c r="I2293" s="368" t="str">
        <f>VLOOKUP(H2293,'Source Codes'!A$2:B$115,2,FALSE)</f>
        <v>On Line Journal Entries</v>
      </c>
      <c r="J2293" s="422">
        <v>1928509.24</v>
      </c>
      <c r="K2293" s="385">
        <v>45828</v>
      </c>
      <c r="L2293" s="369" t="s">
        <v>3748</v>
      </c>
      <c r="M2293" s="390">
        <v>45828.870081018518</v>
      </c>
      <c r="N2293" s="368" t="s">
        <v>387</v>
      </c>
      <c r="O2293" s="368" t="s">
        <v>358</v>
      </c>
      <c r="P2293" s="368" t="str">
        <f>IF(J2293&gt;0,"Revenue",IF(J2293&lt;0,"Expense"))</f>
        <v>Revenue</v>
      </c>
      <c r="Q2293" s="366" t="s">
        <v>3750</v>
      </c>
      <c r="R2293" s="366" t="s">
        <v>3750</v>
      </c>
      <c r="S2293" s="366">
        <v>790600</v>
      </c>
    </row>
    <row r="2294" spans="1:19" ht="44.25" hidden="1" customHeight="1" outlineLevel="1">
      <c r="B2294" s="384">
        <v>2025</v>
      </c>
      <c r="C2294" s="384">
        <v>12</v>
      </c>
      <c r="D2294" s="367" t="s">
        <v>5</v>
      </c>
      <c r="E2294" s="367" t="s">
        <v>6</v>
      </c>
      <c r="F2294" s="389" t="s">
        <v>3751</v>
      </c>
      <c r="G2294" s="385">
        <v>45819</v>
      </c>
      <c r="H2294" s="367" t="s">
        <v>7</v>
      </c>
      <c r="I2294" s="368" t="str">
        <f>VLOOKUP(H2294,'Source Codes'!A$2:B$115,2,FALSE)</f>
        <v>HRMS Interface Journals</v>
      </c>
      <c r="J2294" s="422">
        <v>-75816668.019999996</v>
      </c>
      <c r="K2294" s="385">
        <v>45828</v>
      </c>
      <c r="L2294" s="369" t="s">
        <v>406</v>
      </c>
      <c r="M2294" s="390">
        <v>45828.897187499999</v>
      </c>
      <c r="N2294" s="368" t="s">
        <v>378</v>
      </c>
      <c r="O2294" s="368" t="s">
        <v>371</v>
      </c>
      <c r="P2294" s="368" t="str">
        <f>IF(J2294&gt;0,"Revenue",IF(J2294&lt;0,"Expense"))</f>
        <v>Expense</v>
      </c>
      <c r="Q2294" s="366" t="s">
        <v>379</v>
      </c>
      <c r="R2294" s="366" t="s">
        <v>3723</v>
      </c>
      <c r="S2294" s="366" t="s">
        <v>203</v>
      </c>
    </row>
    <row r="2295" spans="1:19" ht="12.75" customHeight="1" collapsed="1">
      <c r="I2295" s="368"/>
      <c r="J2295" s="413">
        <f>SUM(J2290:J2294)</f>
        <v>-68739027.359999999</v>
      </c>
      <c r="P2295" s="368"/>
    </row>
    <row r="2296" spans="1:19" ht="12.75" customHeight="1">
      <c r="A2296" s="378" t="s">
        <v>3754</v>
      </c>
      <c r="I2296" s="368"/>
      <c r="P2296" s="368"/>
    </row>
    <row r="2297" spans="1:19" ht="44.25" hidden="1" customHeight="1" outlineLevel="1">
      <c r="B2297" s="384">
        <v>2025</v>
      </c>
      <c r="C2297" s="384">
        <v>12</v>
      </c>
      <c r="D2297" s="367" t="s">
        <v>5</v>
      </c>
      <c r="E2297" s="367" t="s">
        <v>6</v>
      </c>
      <c r="F2297" s="389" t="s">
        <v>3755</v>
      </c>
      <c r="G2297" s="385">
        <v>45831</v>
      </c>
      <c r="H2297" s="367" t="s">
        <v>14</v>
      </c>
      <c r="I2297" s="368" t="str">
        <f>VLOOKUP(H2297,'Source Codes'!A$2:B$115,2,FALSE)</f>
        <v>AP Warrant Issuance</v>
      </c>
      <c r="J2297" s="422">
        <v>-1506712.21</v>
      </c>
      <c r="K2297" s="385">
        <v>45831</v>
      </c>
      <c r="L2297" s="369" t="s">
        <v>3764</v>
      </c>
      <c r="M2297" s="390">
        <v>45831.759386574071</v>
      </c>
      <c r="N2297" s="368" t="s">
        <v>356</v>
      </c>
      <c r="O2297" s="368" t="s">
        <v>357</v>
      </c>
      <c r="P2297" s="368" t="str">
        <f>IF(J2297&gt;0,"Revenue",IF(J2297&lt;0,"Expense"))</f>
        <v>Expense</v>
      </c>
      <c r="Q2297" s="366" t="s">
        <v>3757</v>
      </c>
      <c r="R2297" s="366" t="s">
        <v>3758</v>
      </c>
      <c r="S2297" s="366" t="s">
        <v>203</v>
      </c>
    </row>
    <row r="2298" spans="1:19" ht="44.25" hidden="1" customHeight="1" outlineLevel="1">
      <c r="B2298" s="384">
        <v>2025</v>
      </c>
      <c r="C2298" s="384">
        <v>12</v>
      </c>
      <c r="D2298" s="367" t="s">
        <v>5</v>
      </c>
      <c r="E2298" s="367" t="s">
        <v>6</v>
      </c>
      <c r="F2298" s="389" t="s">
        <v>3756</v>
      </c>
      <c r="G2298" s="385">
        <v>45833</v>
      </c>
      <c r="H2298" s="367" t="s">
        <v>14</v>
      </c>
      <c r="I2298" s="368" t="str">
        <f>VLOOKUP(H2298,'Source Codes'!A$2:B$115,2,FALSE)</f>
        <v>AP Warrant Issuance</v>
      </c>
      <c r="J2298" s="422">
        <v>-1397309.77</v>
      </c>
      <c r="K2298" s="385">
        <v>45831</v>
      </c>
      <c r="L2298" s="369" t="s">
        <v>3763</v>
      </c>
      <c r="M2298" s="390">
        <v>45831.759386574071</v>
      </c>
      <c r="N2298" s="368" t="s">
        <v>356</v>
      </c>
      <c r="O2298" s="368" t="s">
        <v>368</v>
      </c>
      <c r="P2298" s="368" t="str">
        <f>IF(J2298&gt;0,"Revenue",IF(J2298&lt;0,"Expense"))</f>
        <v>Expense</v>
      </c>
      <c r="Q2298" s="366" t="s">
        <v>2154</v>
      </c>
      <c r="R2298" s="366" t="s">
        <v>2154</v>
      </c>
      <c r="S2298" s="366" t="s">
        <v>203</v>
      </c>
    </row>
    <row r="2299" spans="1:19" ht="44.25" hidden="1" customHeight="1" outlineLevel="1">
      <c r="B2299" s="384">
        <v>2025</v>
      </c>
      <c r="C2299" s="384">
        <v>12</v>
      </c>
      <c r="D2299" s="367" t="s">
        <v>5</v>
      </c>
      <c r="E2299" s="367" t="s">
        <v>6</v>
      </c>
      <c r="F2299" s="389" t="s">
        <v>3759</v>
      </c>
      <c r="G2299" s="385">
        <v>45831</v>
      </c>
      <c r="H2299" s="367" t="s">
        <v>11</v>
      </c>
      <c r="I2299" s="368" t="str">
        <f>VLOOKUP(H2299,'Source Codes'!A$2:B$115,2,FALSE)</f>
        <v>AR Payments</v>
      </c>
      <c r="J2299" s="422">
        <v>1143032.9099999999</v>
      </c>
      <c r="K2299" s="385">
        <v>45831</v>
      </c>
      <c r="L2299" s="369" t="s">
        <v>3765</v>
      </c>
      <c r="M2299" s="390">
        <v>45831.752337962964</v>
      </c>
      <c r="N2299" s="368" t="s">
        <v>356</v>
      </c>
      <c r="O2299" s="368" t="s">
        <v>362</v>
      </c>
      <c r="P2299" s="368" t="str">
        <f>IF(J2299&gt;0,"Revenue",IF(J2299&lt;0,"Expense"))</f>
        <v>Revenue</v>
      </c>
      <c r="Q2299" s="366" t="s">
        <v>2360</v>
      </c>
      <c r="R2299" s="366" t="s">
        <v>2715</v>
      </c>
      <c r="S2299" s="366">
        <v>118301</v>
      </c>
    </row>
    <row r="2300" spans="1:19" ht="44.25" hidden="1" customHeight="1" outlineLevel="1">
      <c r="B2300" s="384">
        <v>2025</v>
      </c>
      <c r="C2300" s="384">
        <v>12</v>
      </c>
      <c r="D2300" s="367" t="s">
        <v>5</v>
      </c>
      <c r="E2300" s="367" t="s">
        <v>6</v>
      </c>
      <c r="F2300" s="389" t="s">
        <v>3760</v>
      </c>
      <c r="G2300" s="385">
        <v>45820</v>
      </c>
      <c r="H2300" s="367" t="s">
        <v>9</v>
      </c>
      <c r="I2300" s="368" t="str">
        <f>VLOOKUP(H2300,'Source Codes'!A$2:B$115,2,FALSE)</f>
        <v>On Line Journal Entries</v>
      </c>
      <c r="J2300" s="422">
        <v>-1342208</v>
      </c>
      <c r="K2300" s="385">
        <v>45831</v>
      </c>
      <c r="L2300" s="369" t="s">
        <v>3761</v>
      </c>
      <c r="M2300" s="390">
        <v>45831.870300925926</v>
      </c>
      <c r="N2300" s="368" t="s">
        <v>3598</v>
      </c>
      <c r="O2300" s="368" t="s">
        <v>367</v>
      </c>
      <c r="P2300" s="368" t="str">
        <f>IF(J2300&gt;0,"Revenue",IF(J2300&lt;0,"Expense"))</f>
        <v>Expense</v>
      </c>
      <c r="Q2300" s="366" t="s">
        <v>2237</v>
      </c>
      <c r="R2300" s="366" t="s">
        <v>3762</v>
      </c>
      <c r="S2300" s="366">
        <v>526700</v>
      </c>
    </row>
    <row r="2301" spans="1:19" ht="12.75" customHeight="1" collapsed="1">
      <c r="I2301" s="368"/>
      <c r="J2301" s="413">
        <f>SUM(J2297:J2300)</f>
        <v>-3103197.0700000003</v>
      </c>
      <c r="P2301" s="368"/>
    </row>
    <row r="2302" spans="1:19" ht="12.75" customHeight="1">
      <c r="A2302" s="378" t="s">
        <v>3766</v>
      </c>
      <c r="I2302" s="368"/>
      <c r="P2302" s="368"/>
    </row>
    <row r="2303" spans="1:19" ht="44.25" hidden="1" customHeight="1" outlineLevel="1">
      <c r="B2303" s="384">
        <v>2025</v>
      </c>
      <c r="C2303" s="384">
        <v>12</v>
      </c>
      <c r="D2303" s="367" t="s">
        <v>5</v>
      </c>
      <c r="E2303" s="367" t="s">
        <v>6</v>
      </c>
      <c r="F2303" s="389" t="s">
        <v>3767</v>
      </c>
      <c r="G2303" s="385">
        <v>45824</v>
      </c>
      <c r="H2303" s="367" t="s">
        <v>12</v>
      </c>
      <c r="I2303" s="368" t="str">
        <f>VLOOKUP(H2303,'Source Codes'!A$2:B$115,2,FALSE)</f>
        <v>AR Direct Cash Journal</v>
      </c>
      <c r="J2303" s="422">
        <v>1766050.81</v>
      </c>
      <c r="K2303" s="385">
        <v>45832</v>
      </c>
      <c r="L2303" s="369" t="s">
        <v>3769</v>
      </c>
      <c r="M2303" s="390">
        <v>45832.752534722225</v>
      </c>
      <c r="N2303" s="368" t="s">
        <v>356</v>
      </c>
      <c r="O2303" s="368" t="s">
        <v>368</v>
      </c>
      <c r="P2303" s="368" t="str">
        <f t="shared" ref="P2303:P2311" si="33">IF(J2303&gt;0,"Revenue",IF(J2303&lt;0,"Expense"))</f>
        <v>Revenue</v>
      </c>
      <c r="Q2303" s="366" t="s">
        <v>2177</v>
      </c>
      <c r="R2303" s="365" t="s">
        <v>3123</v>
      </c>
      <c r="S2303" s="366" t="s">
        <v>3768</v>
      </c>
    </row>
    <row r="2304" spans="1:19" ht="44.25" hidden="1" customHeight="1" outlineLevel="1">
      <c r="B2304" s="384">
        <v>2025</v>
      </c>
      <c r="C2304" s="384">
        <v>12</v>
      </c>
      <c r="D2304" s="367" t="s">
        <v>5</v>
      </c>
      <c r="E2304" s="367" t="s">
        <v>6</v>
      </c>
      <c r="F2304" s="389" t="s">
        <v>3770</v>
      </c>
      <c r="G2304" s="385">
        <v>45832</v>
      </c>
      <c r="H2304" s="367" t="s">
        <v>12</v>
      </c>
      <c r="I2304" s="368" t="str">
        <f>VLOOKUP(H2304,'Source Codes'!A$2:B$115,2,FALSE)</f>
        <v>AR Direct Cash Journal</v>
      </c>
      <c r="J2304" s="422">
        <v>3799478.61</v>
      </c>
      <c r="K2304" s="385">
        <v>45832</v>
      </c>
      <c r="L2304" s="369" t="s">
        <v>3790</v>
      </c>
      <c r="M2304" s="390">
        <v>45832.752534722225</v>
      </c>
      <c r="N2304" s="368" t="s">
        <v>372</v>
      </c>
      <c r="O2304" s="368" t="s">
        <v>371</v>
      </c>
      <c r="P2304" s="368" t="str">
        <f t="shared" si="33"/>
        <v>Revenue</v>
      </c>
      <c r="Q2304" s="366" t="s">
        <v>2316</v>
      </c>
      <c r="R2304" s="366" t="s">
        <v>3772</v>
      </c>
      <c r="S2304" s="408" t="s">
        <v>3771</v>
      </c>
    </row>
    <row r="2305" spans="1:19" ht="44.25" hidden="1" customHeight="1" outlineLevel="1">
      <c r="B2305" s="384">
        <v>2025</v>
      </c>
      <c r="C2305" s="384">
        <v>12</v>
      </c>
      <c r="D2305" s="367" t="s">
        <v>5</v>
      </c>
      <c r="E2305" s="367" t="s">
        <v>6</v>
      </c>
      <c r="F2305" s="389" t="s">
        <v>3773</v>
      </c>
      <c r="G2305" s="385">
        <v>45828</v>
      </c>
      <c r="H2305" s="367" t="s">
        <v>12</v>
      </c>
      <c r="I2305" s="368" t="str">
        <f>VLOOKUP(H2305,'Source Codes'!A$2:B$115,2,FALSE)</f>
        <v>AR Direct Cash Journal</v>
      </c>
      <c r="J2305" s="422">
        <v>4891286.83</v>
      </c>
      <c r="K2305" s="385">
        <v>45832</v>
      </c>
      <c r="L2305" s="369" t="s">
        <v>3791</v>
      </c>
      <c r="M2305" s="390">
        <v>45832.752534722225</v>
      </c>
      <c r="N2305" s="368" t="s">
        <v>372</v>
      </c>
      <c r="O2305" s="368" t="s">
        <v>370</v>
      </c>
      <c r="P2305" s="368" t="str">
        <f t="shared" si="33"/>
        <v>Revenue</v>
      </c>
      <c r="Q2305" s="366" t="s">
        <v>2264</v>
      </c>
      <c r="R2305" s="366" t="s">
        <v>2265</v>
      </c>
      <c r="S2305" s="366" t="s">
        <v>203</v>
      </c>
    </row>
    <row r="2306" spans="1:19" ht="44.25" hidden="1" customHeight="1" outlineLevel="1">
      <c r="B2306" s="384">
        <v>2025</v>
      </c>
      <c r="C2306" s="384">
        <v>12</v>
      </c>
      <c r="D2306" s="367" t="s">
        <v>5</v>
      </c>
      <c r="E2306" s="367" t="s">
        <v>6</v>
      </c>
      <c r="F2306" s="389" t="s">
        <v>3774</v>
      </c>
      <c r="G2306" s="385">
        <v>45825</v>
      </c>
      <c r="H2306" s="367" t="s">
        <v>12</v>
      </c>
      <c r="I2306" s="368" t="str">
        <f>VLOOKUP(H2306,'Source Codes'!A$2:B$115,2,FALSE)</f>
        <v>AR Direct Cash Journal</v>
      </c>
      <c r="J2306" s="422">
        <v>6006226.4100000001</v>
      </c>
      <c r="K2306" s="385">
        <v>45832</v>
      </c>
      <c r="L2306" s="369" t="s">
        <v>3775</v>
      </c>
      <c r="M2306" s="390">
        <v>45832.752534722225</v>
      </c>
      <c r="N2306" s="368" t="s">
        <v>387</v>
      </c>
      <c r="O2306" s="368" t="s">
        <v>358</v>
      </c>
      <c r="P2306" s="368" t="str">
        <f t="shared" si="33"/>
        <v>Revenue</v>
      </c>
      <c r="Q2306" s="366" t="s">
        <v>2629</v>
      </c>
      <c r="R2306" s="365" t="s">
        <v>3776</v>
      </c>
      <c r="S2306" s="366">
        <v>230100</v>
      </c>
    </row>
    <row r="2307" spans="1:19" ht="44.25" hidden="1" customHeight="1" outlineLevel="1">
      <c r="B2307" s="384">
        <v>2025</v>
      </c>
      <c r="C2307" s="384">
        <v>12</v>
      </c>
      <c r="D2307" s="367" t="s">
        <v>5</v>
      </c>
      <c r="E2307" s="367" t="s">
        <v>6</v>
      </c>
      <c r="F2307" s="389" t="s">
        <v>3777</v>
      </c>
      <c r="G2307" s="385">
        <v>45828</v>
      </c>
      <c r="H2307" s="367" t="s">
        <v>9</v>
      </c>
      <c r="I2307" s="368" t="str">
        <f>VLOOKUP(H2307,'Source Codes'!A$2:B$115,2,FALSE)</f>
        <v>On Line Journal Entries</v>
      </c>
      <c r="J2307" s="422">
        <v>5854040</v>
      </c>
      <c r="K2307" s="385">
        <v>45832</v>
      </c>
      <c r="L2307" s="369" t="s">
        <v>3778</v>
      </c>
      <c r="M2307" s="390">
        <v>45832.555069444446</v>
      </c>
      <c r="N2307" s="368" t="s">
        <v>372</v>
      </c>
      <c r="O2307" s="368" t="s">
        <v>368</v>
      </c>
      <c r="P2307" s="368" t="str">
        <f t="shared" si="33"/>
        <v>Revenue</v>
      </c>
      <c r="Q2307" s="366" t="s">
        <v>2869</v>
      </c>
      <c r="R2307" s="365" t="s">
        <v>2326</v>
      </c>
      <c r="S2307" s="366">
        <v>755926</v>
      </c>
    </row>
    <row r="2308" spans="1:19" ht="44.25" hidden="1" customHeight="1" outlineLevel="1">
      <c r="B2308" s="384">
        <v>2025</v>
      </c>
      <c r="C2308" s="384">
        <v>12</v>
      </c>
      <c r="D2308" s="367" t="s">
        <v>5</v>
      </c>
      <c r="E2308" s="367" t="s">
        <v>6</v>
      </c>
      <c r="F2308" s="389" t="s">
        <v>3779</v>
      </c>
      <c r="G2308" s="385">
        <v>45821</v>
      </c>
      <c r="H2308" s="367" t="s">
        <v>9</v>
      </c>
      <c r="I2308" s="368" t="str">
        <f>VLOOKUP(H2308,'Source Codes'!A$2:B$115,2,FALSE)</f>
        <v>On Line Journal Entries</v>
      </c>
      <c r="J2308" s="422">
        <v>4798056</v>
      </c>
      <c r="K2308" s="385">
        <v>45832</v>
      </c>
      <c r="L2308" s="369" t="s">
        <v>3780</v>
      </c>
      <c r="M2308" s="390">
        <v>45832.869456018518</v>
      </c>
      <c r="N2308" s="368" t="s">
        <v>356</v>
      </c>
      <c r="O2308" s="368" t="s">
        <v>369</v>
      </c>
      <c r="P2308" s="368" t="str">
        <f t="shared" si="33"/>
        <v>Revenue</v>
      </c>
      <c r="Q2308" s="366" t="s">
        <v>2268</v>
      </c>
      <c r="R2308" s="365">
        <v>45809</v>
      </c>
      <c r="S2308" s="366" t="s">
        <v>3481</v>
      </c>
    </row>
    <row r="2309" spans="1:19" ht="44.25" hidden="1" customHeight="1" outlineLevel="1">
      <c r="B2309" s="384">
        <v>2025</v>
      </c>
      <c r="C2309" s="384">
        <v>12</v>
      </c>
      <c r="D2309" s="367" t="s">
        <v>5</v>
      </c>
      <c r="E2309" s="367" t="s">
        <v>6</v>
      </c>
      <c r="F2309" s="389" t="s">
        <v>3781</v>
      </c>
      <c r="G2309" s="385">
        <v>45832</v>
      </c>
      <c r="H2309" s="367" t="s">
        <v>9</v>
      </c>
      <c r="I2309" s="368" t="str">
        <f>VLOOKUP(H2309,'Source Codes'!A$2:B$115,2,FALSE)</f>
        <v>On Line Journal Entries</v>
      </c>
      <c r="J2309" s="422">
        <v>2788357.37</v>
      </c>
      <c r="K2309" s="385">
        <v>45832</v>
      </c>
      <c r="L2309" s="369" t="s">
        <v>3782</v>
      </c>
      <c r="M2309" s="390">
        <v>45832.869456018518</v>
      </c>
      <c r="N2309" s="368" t="s">
        <v>2185</v>
      </c>
      <c r="O2309" s="368" t="s">
        <v>371</v>
      </c>
      <c r="P2309" s="368" t="str">
        <f t="shared" si="33"/>
        <v>Revenue</v>
      </c>
      <c r="Q2309" s="366" t="s">
        <v>3579</v>
      </c>
      <c r="R2309" s="366" t="s">
        <v>3580</v>
      </c>
      <c r="S2309" s="366" t="s">
        <v>2166</v>
      </c>
    </row>
    <row r="2310" spans="1:19" ht="44.25" hidden="1" customHeight="1" outlineLevel="1">
      <c r="B2310" s="384">
        <v>2025</v>
      </c>
      <c r="C2310" s="384">
        <v>12</v>
      </c>
      <c r="D2310" s="367" t="s">
        <v>5</v>
      </c>
      <c r="E2310" s="367" t="s">
        <v>6</v>
      </c>
      <c r="F2310" s="389" t="s">
        <v>3783</v>
      </c>
      <c r="G2310" s="385">
        <v>45811</v>
      </c>
      <c r="H2310" s="367" t="s">
        <v>9</v>
      </c>
      <c r="I2310" s="368" t="str">
        <f>VLOOKUP(H2310,'Source Codes'!A$2:B$115,2,FALSE)</f>
        <v>On Line Journal Entries</v>
      </c>
      <c r="J2310" s="422">
        <v>-1542083</v>
      </c>
      <c r="K2310" s="385">
        <v>45832</v>
      </c>
      <c r="L2310" s="369" t="s">
        <v>3784</v>
      </c>
      <c r="M2310" s="390">
        <v>45832.555532407408</v>
      </c>
      <c r="N2310" s="368" t="s">
        <v>356</v>
      </c>
      <c r="O2310" s="368" t="s">
        <v>368</v>
      </c>
      <c r="P2310" s="368" t="str">
        <f t="shared" si="33"/>
        <v>Expense</v>
      </c>
      <c r="Q2310" s="366" t="s">
        <v>2219</v>
      </c>
      <c r="R2310" s="366" t="s">
        <v>3785</v>
      </c>
      <c r="S2310" s="366">
        <v>530280</v>
      </c>
    </row>
    <row r="2311" spans="1:19" ht="44.25" hidden="1" customHeight="1" outlineLevel="1">
      <c r="B2311" s="384">
        <v>2025</v>
      </c>
      <c r="C2311" s="384">
        <v>12</v>
      </c>
      <c r="D2311" s="367" t="s">
        <v>5</v>
      </c>
      <c r="E2311" s="367" t="s">
        <v>6</v>
      </c>
      <c r="F2311" s="389" t="s">
        <v>3786</v>
      </c>
      <c r="G2311" s="385">
        <v>45826</v>
      </c>
      <c r="H2311" s="367" t="s">
        <v>9</v>
      </c>
      <c r="I2311" s="368" t="str">
        <f>VLOOKUP(H2311,'Source Codes'!A$2:B$115,2,FALSE)</f>
        <v>On Line Journal Entries</v>
      </c>
      <c r="J2311" s="422">
        <v>-8722809</v>
      </c>
      <c r="K2311" s="385">
        <v>45832</v>
      </c>
      <c r="L2311" s="369" t="s">
        <v>3787</v>
      </c>
      <c r="M2311" s="390">
        <v>45832.869456018518</v>
      </c>
      <c r="N2311" s="368" t="s">
        <v>3788</v>
      </c>
      <c r="O2311" s="368" t="s">
        <v>358</v>
      </c>
      <c r="P2311" s="368" t="str">
        <f t="shared" si="33"/>
        <v>Expense</v>
      </c>
      <c r="Q2311" s="366" t="s">
        <v>3789</v>
      </c>
      <c r="R2311" s="366" t="s">
        <v>3789</v>
      </c>
      <c r="S2311" s="366">
        <v>551100</v>
      </c>
    </row>
    <row r="2312" spans="1:19" ht="12.75" customHeight="1" collapsed="1">
      <c r="I2312" s="368"/>
      <c r="J2312" s="413">
        <f>SUM(J2303:J2311)</f>
        <v>19638604.030000001</v>
      </c>
      <c r="P2312" s="368"/>
    </row>
    <row r="2313" spans="1:19" ht="12.75" customHeight="1">
      <c r="A2313" s="378" t="s">
        <v>3792</v>
      </c>
      <c r="I2313" s="368"/>
      <c r="P2313" s="368"/>
    </row>
    <row r="2314" spans="1:19" ht="44.25" hidden="1" customHeight="1" outlineLevel="1">
      <c r="B2314" s="384">
        <v>2025</v>
      </c>
      <c r="C2314" s="384">
        <v>12</v>
      </c>
      <c r="D2314" s="367" t="s">
        <v>5</v>
      </c>
      <c r="E2314" s="367" t="s">
        <v>6</v>
      </c>
      <c r="F2314" s="389" t="s">
        <v>3793</v>
      </c>
      <c r="G2314" s="385">
        <v>45835</v>
      </c>
      <c r="H2314" s="367" t="s">
        <v>14</v>
      </c>
      <c r="I2314" s="368" t="str">
        <f>VLOOKUP(H2314,'Source Codes'!A$2:B$115,2,FALSE)</f>
        <v>AP Warrant Issuance</v>
      </c>
      <c r="J2314" s="422">
        <v>-4787464.2</v>
      </c>
      <c r="K2314" s="385">
        <v>45833</v>
      </c>
      <c r="L2314" s="369" t="s">
        <v>3794</v>
      </c>
      <c r="M2314" s="390">
        <v>45833.758796296293</v>
      </c>
      <c r="N2314" s="368" t="s">
        <v>356</v>
      </c>
      <c r="O2314" s="368" t="s">
        <v>368</v>
      </c>
      <c r="P2314" s="368" t="str">
        <f t="shared" ref="P2314:P2319" si="34">IF(J2314&gt;0,"Revenue",IF(J2314&lt;0,"Expense"))</f>
        <v>Expense</v>
      </c>
      <c r="Q2314" s="366" t="s">
        <v>2154</v>
      </c>
      <c r="R2314" s="366" t="s">
        <v>2154</v>
      </c>
      <c r="S2314" s="366" t="s">
        <v>203</v>
      </c>
    </row>
    <row r="2315" spans="1:19" ht="44.25" hidden="1" customHeight="1" outlineLevel="1">
      <c r="B2315" s="384">
        <v>2025</v>
      </c>
      <c r="C2315" s="384">
        <v>12</v>
      </c>
      <c r="D2315" s="367" t="s">
        <v>5</v>
      </c>
      <c r="E2315" s="367" t="s">
        <v>6</v>
      </c>
      <c r="F2315" s="389" t="s">
        <v>3795</v>
      </c>
      <c r="G2315" s="385">
        <v>45833</v>
      </c>
      <c r="H2315" s="367" t="s">
        <v>14</v>
      </c>
      <c r="I2315" s="368" t="str">
        <f>VLOOKUP(H2315,'Source Codes'!A$2:B$115,2,FALSE)</f>
        <v>AP Warrant Issuance</v>
      </c>
      <c r="J2315" s="422">
        <v>-2831586.48</v>
      </c>
      <c r="K2315" s="385">
        <v>45833</v>
      </c>
      <c r="L2315" s="369" t="s">
        <v>3796</v>
      </c>
      <c r="M2315" s="390">
        <v>45833.758796296293</v>
      </c>
      <c r="N2315" s="368" t="s">
        <v>356</v>
      </c>
      <c r="O2315" s="368" t="s">
        <v>368</v>
      </c>
      <c r="P2315" s="368" t="str">
        <f t="shared" si="34"/>
        <v>Expense</v>
      </c>
      <c r="Q2315" s="366" t="s">
        <v>2154</v>
      </c>
      <c r="R2315" s="366" t="s">
        <v>2154</v>
      </c>
      <c r="S2315" s="366" t="s">
        <v>203</v>
      </c>
    </row>
    <row r="2316" spans="1:19" ht="44.25" hidden="1" customHeight="1" outlineLevel="1">
      <c r="B2316" s="384">
        <v>2025</v>
      </c>
      <c r="C2316" s="384">
        <v>12</v>
      </c>
      <c r="D2316" s="367" t="s">
        <v>5</v>
      </c>
      <c r="E2316" s="367" t="s">
        <v>6</v>
      </c>
      <c r="F2316" s="389" t="s">
        <v>3797</v>
      </c>
      <c r="G2316" s="385">
        <v>45833</v>
      </c>
      <c r="H2316" s="367" t="s">
        <v>14</v>
      </c>
      <c r="I2316" s="368" t="str">
        <f>VLOOKUP(H2316,'Source Codes'!A$2:B$115,2,FALSE)</f>
        <v>AP Warrant Issuance</v>
      </c>
      <c r="J2316" s="422">
        <v>-1048189.12</v>
      </c>
      <c r="K2316" s="385">
        <v>45833</v>
      </c>
      <c r="L2316" s="369" t="s">
        <v>3798</v>
      </c>
      <c r="M2316" s="390">
        <v>45833.758796296293</v>
      </c>
      <c r="N2316" s="368" t="s">
        <v>356</v>
      </c>
      <c r="O2316" s="368" t="s">
        <v>357</v>
      </c>
      <c r="P2316" s="368" t="str">
        <f t="shared" si="34"/>
        <v>Expense</v>
      </c>
      <c r="Q2316" s="366" t="s">
        <v>3757</v>
      </c>
      <c r="R2316" s="366" t="s">
        <v>3758</v>
      </c>
      <c r="S2316" s="366" t="s">
        <v>203</v>
      </c>
    </row>
    <row r="2317" spans="1:19" ht="44.25" hidden="1" customHeight="1" outlineLevel="1">
      <c r="B2317" s="384">
        <v>2025</v>
      </c>
      <c r="C2317" s="384">
        <v>12</v>
      </c>
      <c r="D2317" s="367" t="s">
        <v>5</v>
      </c>
      <c r="E2317" s="367" t="s">
        <v>6</v>
      </c>
      <c r="F2317" s="389" t="s">
        <v>3799</v>
      </c>
      <c r="G2317" s="385">
        <v>45833</v>
      </c>
      <c r="H2317" s="367" t="s">
        <v>11</v>
      </c>
      <c r="I2317" s="368" t="str">
        <f>VLOOKUP(H2317,'Source Codes'!A$2:B$115,2,FALSE)</f>
        <v>AR Payments</v>
      </c>
      <c r="J2317" s="422">
        <v>1528680.23</v>
      </c>
      <c r="K2317" s="385">
        <v>45833</v>
      </c>
      <c r="L2317" s="369" t="s">
        <v>3800</v>
      </c>
      <c r="M2317" s="390">
        <v>45833.75271990741</v>
      </c>
      <c r="N2317" s="368" t="s">
        <v>356</v>
      </c>
      <c r="O2317" s="368" t="s">
        <v>362</v>
      </c>
      <c r="P2317" s="368" t="str">
        <f t="shared" si="34"/>
        <v>Revenue</v>
      </c>
      <c r="Q2317" s="366" t="s">
        <v>2360</v>
      </c>
      <c r="R2317" s="366" t="s">
        <v>3049</v>
      </c>
      <c r="S2317" s="366">
        <v>118301</v>
      </c>
    </row>
    <row r="2318" spans="1:19" ht="44.25" hidden="1" customHeight="1" outlineLevel="1">
      <c r="B2318" s="384">
        <v>2025</v>
      </c>
      <c r="C2318" s="384">
        <v>12</v>
      </c>
      <c r="D2318" s="367" t="s">
        <v>5</v>
      </c>
      <c r="E2318" s="367" t="s">
        <v>6</v>
      </c>
      <c r="F2318" s="389" t="s">
        <v>3801</v>
      </c>
      <c r="G2318" s="385">
        <v>45833</v>
      </c>
      <c r="H2318" s="367" t="s">
        <v>110</v>
      </c>
      <c r="I2318" s="368" t="str">
        <f>VLOOKUP(H2318,'Source Codes'!A$2:B$115,2,FALSE)</f>
        <v>Treasurers Interest Apportion</v>
      </c>
      <c r="J2318" s="422">
        <v>20561682.93</v>
      </c>
      <c r="K2318" s="385">
        <v>45833</v>
      </c>
      <c r="L2318" s="369" t="s">
        <v>3802</v>
      </c>
      <c r="M2318" s="390">
        <v>45833.58798611111</v>
      </c>
      <c r="N2318" s="368" t="s">
        <v>372</v>
      </c>
      <c r="O2318" s="368" t="s">
        <v>371</v>
      </c>
      <c r="P2318" s="368" t="str">
        <f t="shared" si="34"/>
        <v>Revenue</v>
      </c>
      <c r="Q2318" s="366" t="s">
        <v>2363</v>
      </c>
      <c r="R2318" s="366" t="s">
        <v>3295</v>
      </c>
      <c r="S2318" s="366">
        <v>740020</v>
      </c>
    </row>
    <row r="2319" spans="1:19" ht="44.25" hidden="1" customHeight="1" outlineLevel="1">
      <c r="B2319" s="384">
        <v>2025</v>
      </c>
      <c r="C2319" s="384">
        <v>12</v>
      </c>
      <c r="D2319" s="367" t="s">
        <v>5</v>
      </c>
      <c r="E2319" s="367" t="s">
        <v>6</v>
      </c>
      <c r="F2319" s="389" t="s">
        <v>3803</v>
      </c>
      <c r="G2319" s="385">
        <v>45826</v>
      </c>
      <c r="H2319" s="367" t="s">
        <v>9</v>
      </c>
      <c r="I2319" s="368" t="str">
        <f>VLOOKUP(H2319,'Source Codes'!A$2:B$115,2,FALSE)</f>
        <v>On Line Journal Entries</v>
      </c>
      <c r="J2319" s="422">
        <v>-1659241.85</v>
      </c>
      <c r="K2319" s="385">
        <v>45833</v>
      </c>
      <c r="L2319" s="369" t="s">
        <v>3804</v>
      </c>
      <c r="M2319" s="390">
        <v>45833.87054398148</v>
      </c>
      <c r="N2319" s="368" t="s">
        <v>2185</v>
      </c>
      <c r="O2319" s="368" t="s">
        <v>367</v>
      </c>
      <c r="P2319" s="368" t="str">
        <f t="shared" si="34"/>
        <v>Expense</v>
      </c>
      <c r="Q2319" s="366" t="s">
        <v>2237</v>
      </c>
      <c r="R2319" s="366" t="s">
        <v>2334</v>
      </c>
      <c r="S2319" s="366">
        <v>526700</v>
      </c>
    </row>
    <row r="2320" spans="1:19" ht="12.75" customHeight="1" collapsed="1">
      <c r="I2320" s="368"/>
      <c r="J2320" s="413">
        <f>SUM(J2314:J2319)</f>
        <v>11763881.510000002</v>
      </c>
      <c r="P2320" s="368"/>
    </row>
    <row r="2321" spans="1:19" ht="12.75" customHeight="1">
      <c r="A2321" s="378" t="s">
        <v>3805</v>
      </c>
      <c r="I2321" s="368"/>
      <c r="P2321" s="368"/>
    </row>
    <row r="2322" spans="1:19" ht="44.25" hidden="1" customHeight="1" outlineLevel="1">
      <c r="B2322" s="384">
        <v>2025</v>
      </c>
      <c r="C2322" s="384">
        <v>12</v>
      </c>
      <c r="D2322" s="367" t="s">
        <v>5</v>
      </c>
      <c r="E2322" s="367" t="s">
        <v>6</v>
      </c>
      <c r="F2322" s="389" t="s">
        <v>3806</v>
      </c>
      <c r="G2322" s="385">
        <v>45820</v>
      </c>
      <c r="H2322" s="367" t="s">
        <v>12</v>
      </c>
      <c r="I2322" s="368" t="str">
        <f>VLOOKUP(H2322,'Source Codes'!A$2:B$115,2,FALSE)</f>
        <v>AR Direct Cash Journal</v>
      </c>
      <c r="J2322" s="422">
        <v>-3891671.02</v>
      </c>
      <c r="K2322" s="385">
        <v>45834</v>
      </c>
      <c r="L2322" s="369" t="s">
        <v>3828</v>
      </c>
      <c r="M2322" s="390">
        <v>45834.752442129633</v>
      </c>
      <c r="N2322" s="368" t="s">
        <v>2185</v>
      </c>
      <c r="O2322" s="368" t="s">
        <v>357</v>
      </c>
      <c r="P2322" s="368" t="str">
        <f t="shared" ref="P2322:P2330" si="35">IF(J2322&gt;0,"Revenue",IF(J2322&lt;0,"Expense"))</f>
        <v>Expense</v>
      </c>
      <c r="Q2322" s="366" t="s">
        <v>3807</v>
      </c>
      <c r="R2322" s="366" t="s">
        <v>3808</v>
      </c>
      <c r="S2322" s="366" t="s">
        <v>3809</v>
      </c>
    </row>
    <row r="2323" spans="1:19" ht="135" hidden="1" outlineLevel="1">
      <c r="B2323" s="384">
        <v>2025</v>
      </c>
      <c r="C2323" s="384">
        <v>12</v>
      </c>
      <c r="D2323" s="367" t="s">
        <v>5</v>
      </c>
      <c r="E2323" s="367" t="s">
        <v>6</v>
      </c>
      <c r="F2323" s="389" t="s">
        <v>3810</v>
      </c>
      <c r="G2323" s="385">
        <v>45833</v>
      </c>
      <c r="H2323" s="367" t="s">
        <v>11</v>
      </c>
      <c r="I2323" s="368" t="str">
        <f>VLOOKUP(H2323,'Source Codes'!A$2:B$115,2,FALSE)</f>
        <v>AR Payments</v>
      </c>
      <c r="J2323" s="422">
        <v>1496155.68</v>
      </c>
      <c r="K2323" s="385">
        <v>45834</v>
      </c>
      <c r="L2323" s="369" t="s">
        <v>3812</v>
      </c>
      <c r="M2323" s="390">
        <v>45834.752442129633</v>
      </c>
      <c r="N2323" s="368" t="s">
        <v>356</v>
      </c>
      <c r="O2323" s="368" t="s">
        <v>357</v>
      </c>
      <c r="P2323" s="368" t="str">
        <f t="shared" si="35"/>
        <v>Revenue</v>
      </c>
      <c r="Q2323" s="366" t="s">
        <v>2157</v>
      </c>
      <c r="R2323" s="366" t="s">
        <v>2857</v>
      </c>
      <c r="S2323" s="366" t="s">
        <v>2531</v>
      </c>
    </row>
    <row r="2324" spans="1:19" ht="60" hidden="1" outlineLevel="1">
      <c r="B2324" s="384">
        <v>2025</v>
      </c>
      <c r="C2324" s="384">
        <v>12</v>
      </c>
      <c r="D2324" s="367" t="s">
        <v>5</v>
      </c>
      <c r="E2324" s="367" t="s">
        <v>6</v>
      </c>
      <c r="F2324" s="389" t="s">
        <v>3811</v>
      </c>
      <c r="G2324" s="385">
        <v>45834</v>
      </c>
      <c r="H2324" s="367" t="s">
        <v>11</v>
      </c>
      <c r="I2324" s="368" t="str">
        <f>VLOOKUP(H2324,'Source Codes'!A$2:B$115,2,FALSE)</f>
        <v>AR Payments</v>
      </c>
      <c r="J2324" s="422">
        <v>2106450.4500000002</v>
      </c>
      <c r="K2324" s="385">
        <v>45834</v>
      </c>
      <c r="L2324" s="369" t="s">
        <v>3829</v>
      </c>
      <c r="M2324" s="390">
        <v>45834.752442129633</v>
      </c>
      <c r="N2324" s="368" t="s">
        <v>356</v>
      </c>
      <c r="O2324" s="368" t="s">
        <v>357</v>
      </c>
      <c r="P2324" s="368" t="str">
        <f t="shared" si="35"/>
        <v>Revenue</v>
      </c>
      <c r="Q2324" s="366" t="s">
        <v>2157</v>
      </c>
      <c r="R2324" s="366" t="s">
        <v>2857</v>
      </c>
      <c r="S2324" s="366" t="s">
        <v>2278</v>
      </c>
    </row>
    <row r="2325" spans="1:19" ht="45" hidden="1" outlineLevel="1">
      <c r="B2325" s="384">
        <v>2025</v>
      </c>
      <c r="C2325" s="384">
        <v>12</v>
      </c>
      <c r="D2325" s="367" t="s">
        <v>5</v>
      </c>
      <c r="E2325" s="367" t="s">
        <v>6</v>
      </c>
      <c r="F2325" s="389" t="s">
        <v>3813</v>
      </c>
      <c r="G2325" s="385">
        <v>45833</v>
      </c>
      <c r="H2325" s="367" t="s">
        <v>12</v>
      </c>
      <c r="I2325" s="368" t="str">
        <f>VLOOKUP(H2325,'Source Codes'!A$2:B$115,2,FALSE)</f>
        <v>AR Direct Cash Journal</v>
      </c>
      <c r="J2325" s="422">
        <v>2251615.27</v>
      </c>
      <c r="K2325" s="385">
        <v>45834</v>
      </c>
      <c r="L2325" s="369" t="s">
        <v>3830</v>
      </c>
      <c r="M2325" s="390">
        <v>45834.752442129633</v>
      </c>
      <c r="N2325" s="368" t="s">
        <v>356</v>
      </c>
      <c r="O2325" s="368" t="s">
        <v>370</v>
      </c>
      <c r="P2325" s="368" t="str">
        <f t="shared" si="35"/>
        <v>Revenue</v>
      </c>
      <c r="Q2325" s="366" t="s">
        <v>2264</v>
      </c>
      <c r="R2325" s="366" t="s">
        <v>2265</v>
      </c>
      <c r="S2325" s="366" t="s">
        <v>3814</v>
      </c>
    </row>
    <row r="2326" spans="1:19" ht="60" hidden="1" outlineLevel="1">
      <c r="B2326" s="384">
        <v>2025</v>
      </c>
      <c r="C2326" s="384">
        <v>12</v>
      </c>
      <c r="D2326" s="367" t="s">
        <v>5</v>
      </c>
      <c r="E2326" s="367" t="s">
        <v>6</v>
      </c>
      <c r="F2326" s="389" t="s">
        <v>3815</v>
      </c>
      <c r="G2326" s="385">
        <v>45834</v>
      </c>
      <c r="H2326" s="367" t="s">
        <v>12</v>
      </c>
      <c r="I2326" s="368" t="str">
        <f>VLOOKUP(H2326,'Source Codes'!A$2:B$115,2,FALSE)</f>
        <v>AR Direct Cash Journal</v>
      </c>
      <c r="J2326" s="422">
        <v>4417923</v>
      </c>
      <c r="K2326" s="385">
        <v>45834</v>
      </c>
      <c r="L2326" s="369" t="s">
        <v>3821</v>
      </c>
      <c r="M2326" s="390">
        <v>45834.752442129633</v>
      </c>
      <c r="N2326" s="368" t="s">
        <v>387</v>
      </c>
      <c r="O2326" s="368" t="s">
        <v>371</v>
      </c>
      <c r="P2326" s="368" t="str">
        <f t="shared" si="35"/>
        <v>Revenue</v>
      </c>
      <c r="Q2326" s="366" t="s">
        <v>3816</v>
      </c>
      <c r="R2326" s="365" t="s">
        <v>3816</v>
      </c>
      <c r="S2326" s="366" t="s">
        <v>3817</v>
      </c>
    </row>
    <row r="2327" spans="1:19" ht="45" hidden="1" outlineLevel="1">
      <c r="B2327" s="384">
        <v>2025</v>
      </c>
      <c r="C2327" s="384">
        <v>12</v>
      </c>
      <c r="D2327" s="367" t="s">
        <v>5</v>
      </c>
      <c r="E2327" s="367" t="s">
        <v>6</v>
      </c>
      <c r="F2327" s="389" t="s">
        <v>3818</v>
      </c>
      <c r="G2327" s="385">
        <v>45834</v>
      </c>
      <c r="H2327" s="367" t="s">
        <v>12</v>
      </c>
      <c r="I2327" s="368" t="str">
        <f>VLOOKUP(H2327,'Source Codes'!A$2:B$115,2,FALSE)</f>
        <v>AR Direct Cash Journal</v>
      </c>
      <c r="J2327" s="422">
        <v>8069869.3799999999</v>
      </c>
      <c r="K2327" s="385">
        <v>45834</v>
      </c>
      <c r="L2327" s="369" t="s">
        <v>3819</v>
      </c>
      <c r="M2327" s="390">
        <v>45834.752442129633</v>
      </c>
      <c r="N2327" s="368" t="s">
        <v>372</v>
      </c>
      <c r="O2327" s="368" t="s">
        <v>370</v>
      </c>
      <c r="P2327" s="368" t="str">
        <f t="shared" si="35"/>
        <v>Revenue</v>
      </c>
      <c r="Q2327" s="366" t="s">
        <v>2264</v>
      </c>
      <c r="R2327" s="366" t="s">
        <v>3664</v>
      </c>
      <c r="S2327" s="366" t="s">
        <v>3820</v>
      </c>
    </row>
    <row r="2328" spans="1:19" ht="15" hidden="1" outlineLevel="1">
      <c r="B2328" s="384">
        <v>2025</v>
      </c>
      <c r="C2328" s="384">
        <v>12</v>
      </c>
      <c r="D2328" s="367" t="s">
        <v>5</v>
      </c>
      <c r="E2328" s="367" t="s">
        <v>6</v>
      </c>
      <c r="F2328" s="389" t="s">
        <v>3822</v>
      </c>
      <c r="G2328" s="385">
        <v>45834</v>
      </c>
      <c r="H2328" s="367" t="s">
        <v>7</v>
      </c>
      <c r="I2328" s="368" t="str">
        <f>VLOOKUP(H2328,'Source Codes'!A$2:B$115,2,FALSE)</f>
        <v>HRMS Interface Journals</v>
      </c>
      <c r="J2328" s="422">
        <v>-1311477.04</v>
      </c>
      <c r="K2328" s="385">
        <v>45834</v>
      </c>
      <c r="L2328" s="369" t="s">
        <v>406</v>
      </c>
      <c r="M2328" s="390">
        <v>45834.629837962966</v>
      </c>
      <c r="N2328" s="368" t="s">
        <v>378</v>
      </c>
      <c r="O2328" s="368" t="s">
        <v>371</v>
      </c>
      <c r="P2328" s="368" t="str">
        <f t="shared" si="35"/>
        <v>Expense</v>
      </c>
      <c r="Q2328" s="366" t="s">
        <v>379</v>
      </c>
      <c r="R2328" s="366" t="s">
        <v>3823</v>
      </c>
      <c r="S2328" s="366">
        <v>510200</v>
      </c>
    </row>
    <row r="2329" spans="1:19" ht="45" hidden="1" outlineLevel="1">
      <c r="B2329" s="384">
        <v>2025</v>
      </c>
      <c r="C2329" s="384">
        <v>12</v>
      </c>
      <c r="D2329" s="367" t="s">
        <v>5</v>
      </c>
      <c r="E2329" s="367" t="s">
        <v>6</v>
      </c>
      <c r="F2329" s="389" t="s">
        <v>3824</v>
      </c>
      <c r="G2329" s="385">
        <v>45832</v>
      </c>
      <c r="H2329" s="367" t="s">
        <v>9</v>
      </c>
      <c r="I2329" s="368" t="str">
        <f>VLOOKUP(H2329,'Source Codes'!A$2:B$115,2,FALSE)</f>
        <v>On Line Journal Entries</v>
      </c>
      <c r="J2329" s="422">
        <v>-2832832.85</v>
      </c>
      <c r="K2329" s="385">
        <v>45834</v>
      </c>
      <c r="L2329" s="369" t="s">
        <v>3825</v>
      </c>
      <c r="M2329" s="390">
        <v>45834.870844907404</v>
      </c>
      <c r="N2329" s="368" t="s">
        <v>2185</v>
      </c>
      <c r="O2329" s="368" t="s">
        <v>364</v>
      </c>
      <c r="P2329" s="368" t="str">
        <f t="shared" si="35"/>
        <v>Expense</v>
      </c>
      <c r="Q2329" s="366" t="s">
        <v>2232</v>
      </c>
      <c r="R2329" s="366" t="s">
        <v>3454</v>
      </c>
      <c r="S2329" s="366">
        <v>536100</v>
      </c>
    </row>
    <row r="2330" spans="1:19" ht="45" hidden="1" outlineLevel="1">
      <c r="B2330" s="384">
        <v>2025</v>
      </c>
      <c r="C2330" s="384">
        <v>12</v>
      </c>
      <c r="D2330" s="367" t="s">
        <v>5</v>
      </c>
      <c r="E2330" s="367" t="s">
        <v>6</v>
      </c>
      <c r="F2330" s="389" t="s">
        <v>3826</v>
      </c>
      <c r="G2330" s="385">
        <v>45828</v>
      </c>
      <c r="H2330" s="367" t="s">
        <v>9</v>
      </c>
      <c r="I2330" s="368" t="str">
        <f>VLOOKUP(H2330,'Source Codes'!A$2:B$115,2,FALSE)</f>
        <v>On Line Journal Entries</v>
      </c>
      <c r="J2330" s="422">
        <v>-7529764.0999999996</v>
      </c>
      <c r="K2330" s="385">
        <v>45834</v>
      </c>
      <c r="L2330" s="369" t="s">
        <v>3827</v>
      </c>
      <c r="M2330" s="390">
        <v>45834.870844907404</v>
      </c>
      <c r="N2330" s="368" t="s">
        <v>2185</v>
      </c>
      <c r="O2330" s="368" t="s">
        <v>364</v>
      </c>
      <c r="P2330" s="368" t="str">
        <f t="shared" si="35"/>
        <v>Expense</v>
      </c>
      <c r="Q2330" s="366" t="s">
        <v>2232</v>
      </c>
      <c r="R2330" s="366" t="s">
        <v>3454</v>
      </c>
      <c r="S2330" s="366">
        <v>750740</v>
      </c>
    </row>
    <row r="2331" spans="1:19" ht="12.75" customHeight="1" collapsed="1">
      <c r="J2331" s="413">
        <f>SUM(J2322:J2330)</f>
        <v>2776268.7700000033</v>
      </c>
    </row>
    <row r="2333" spans="1:19" ht="12.75" customHeight="1">
      <c r="A2333" s="378" t="s">
        <v>3831</v>
      </c>
    </row>
    <row r="2334" spans="1:19" ht="45" hidden="1" outlineLevel="1">
      <c r="B2334" s="384">
        <v>2025</v>
      </c>
      <c r="C2334" s="384">
        <v>12</v>
      </c>
      <c r="D2334" s="367" t="s">
        <v>5</v>
      </c>
      <c r="E2334" s="367" t="s">
        <v>6</v>
      </c>
      <c r="F2334" s="389" t="s">
        <v>3832</v>
      </c>
      <c r="G2334" s="385">
        <v>45828</v>
      </c>
      <c r="H2334" s="367" t="s">
        <v>12</v>
      </c>
      <c r="I2334" s="368" t="str">
        <f>VLOOKUP(H2334,'Source Codes'!A$2:B$115,2,FALSE)</f>
        <v>AR Direct Cash Journal</v>
      </c>
      <c r="J2334" s="422">
        <v>3936090.25</v>
      </c>
      <c r="K2334" s="385">
        <v>45835</v>
      </c>
      <c r="L2334" s="369" t="s">
        <v>3834</v>
      </c>
      <c r="M2334" s="390">
        <v>45835.752060185187</v>
      </c>
      <c r="N2334" s="366" t="s">
        <v>356</v>
      </c>
      <c r="O2334" s="367" t="s">
        <v>357</v>
      </c>
      <c r="P2334" s="368" t="s">
        <v>2290</v>
      </c>
      <c r="Q2334" s="366" t="s">
        <v>2157</v>
      </c>
      <c r="R2334" s="366" t="s">
        <v>2857</v>
      </c>
      <c r="S2334" s="366" t="s">
        <v>3833</v>
      </c>
    </row>
    <row r="2335" spans="1:19" ht="12.75" customHeight="1" collapsed="1">
      <c r="J2335" s="413">
        <f>SUM(J2334)</f>
        <v>3936090.25</v>
      </c>
    </row>
    <row r="2337" spans="1:19" ht="12.75" customHeight="1">
      <c r="A2337" s="378" t="s">
        <v>3835</v>
      </c>
    </row>
    <row r="2338" spans="1:19" ht="30" hidden="1" outlineLevel="1">
      <c r="B2338" s="384">
        <v>2025</v>
      </c>
      <c r="C2338" s="384">
        <v>12</v>
      </c>
      <c r="D2338" s="367" t="s">
        <v>5</v>
      </c>
      <c r="E2338" s="367" t="s">
        <v>6</v>
      </c>
      <c r="F2338" s="389" t="s">
        <v>3836</v>
      </c>
      <c r="G2338" s="385">
        <v>45838</v>
      </c>
      <c r="H2338" s="367" t="s">
        <v>12</v>
      </c>
      <c r="I2338" s="368" t="str">
        <f>VLOOKUP(H2338,'Source Codes'!A$2:B$115,2,FALSE)</f>
        <v>AR Direct Cash Journal</v>
      </c>
      <c r="J2338" s="422">
        <v>4340738.97</v>
      </c>
      <c r="K2338" s="385">
        <v>45838</v>
      </c>
      <c r="L2338" s="369" t="s">
        <v>3844</v>
      </c>
      <c r="M2338" s="390">
        <v>45838.86042824074</v>
      </c>
      <c r="N2338" s="366" t="s">
        <v>372</v>
      </c>
      <c r="O2338" s="367" t="s">
        <v>370</v>
      </c>
      <c r="P2338" s="368" t="s">
        <v>2290</v>
      </c>
      <c r="Q2338" s="366" t="s">
        <v>2264</v>
      </c>
      <c r="R2338" s="366" t="s">
        <v>3664</v>
      </c>
      <c r="S2338" s="366" t="s">
        <v>3843</v>
      </c>
    </row>
    <row r="2339" spans="1:19" ht="30" hidden="1" outlineLevel="1">
      <c r="B2339" s="384">
        <v>2025</v>
      </c>
      <c r="C2339" s="384">
        <v>12</v>
      </c>
      <c r="D2339" s="367" t="s">
        <v>5</v>
      </c>
      <c r="E2339" s="367" t="s">
        <v>6</v>
      </c>
      <c r="F2339" s="389" t="s">
        <v>3837</v>
      </c>
      <c r="G2339" s="385">
        <v>45838</v>
      </c>
      <c r="H2339" s="367" t="s">
        <v>11</v>
      </c>
      <c r="I2339" s="368" t="str">
        <f>VLOOKUP(H2339,'Source Codes'!A$2:B$115,2,FALSE)</f>
        <v>AR Payments</v>
      </c>
      <c r="J2339" s="422">
        <v>5366538.09</v>
      </c>
      <c r="K2339" s="385">
        <v>45838</v>
      </c>
      <c r="L2339" s="369" t="s">
        <v>3845</v>
      </c>
      <c r="M2339" s="390">
        <v>45838.86042824074</v>
      </c>
      <c r="N2339" s="368" t="s">
        <v>356</v>
      </c>
      <c r="O2339" s="368" t="s">
        <v>362</v>
      </c>
      <c r="P2339" s="368" t="str">
        <f>IF(J2339&gt;0,"Revenue",IF(J2339&lt;0,"Expense"))</f>
        <v>Revenue</v>
      </c>
      <c r="Q2339" s="366" t="s">
        <v>2360</v>
      </c>
      <c r="R2339" s="366" t="s">
        <v>2715</v>
      </c>
      <c r="S2339" s="366" t="s">
        <v>2361</v>
      </c>
    </row>
    <row r="2340" spans="1:19" ht="30" hidden="1" outlineLevel="1">
      <c r="B2340" s="384">
        <v>2025</v>
      </c>
      <c r="C2340" s="384">
        <v>12</v>
      </c>
      <c r="D2340" s="367" t="s">
        <v>5</v>
      </c>
      <c r="E2340" s="367" t="s">
        <v>6</v>
      </c>
      <c r="F2340" s="389" t="s">
        <v>3838</v>
      </c>
      <c r="G2340" s="385">
        <v>45833</v>
      </c>
      <c r="H2340" s="367" t="s">
        <v>9</v>
      </c>
      <c r="I2340" s="368" t="str">
        <f>VLOOKUP(H2340,'Source Codes'!A$2:B$115,2,FALSE)</f>
        <v>On Line Journal Entries</v>
      </c>
      <c r="J2340" s="422">
        <v>2281455</v>
      </c>
      <c r="K2340" s="385">
        <v>45838</v>
      </c>
      <c r="L2340" s="369" t="s">
        <v>3840</v>
      </c>
      <c r="M2340" s="390">
        <v>45838.873657407406</v>
      </c>
      <c r="N2340" s="368" t="s">
        <v>361</v>
      </c>
      <c r="O2340" s="368" t="s">
        <v>380</v>
      </c>
      <c r="P2340" s="368" t="s">
        <v>2290</v>
      </c>
      <c r="Q2340" s="366" t="s">
        <v>3075</v>
      </c>
      <c r="R2340" s="365" t="s">
        <v>3846</v>
      </c>
      <c r="S2340" s="366">
        <v>777470</v>
      </c>
    </row>
    <row r="2341" spans="1:19" ht="30" hidden="1" outlineLevel="1">
      <c r="B2341" s="384">
        <v>2025</v>
      </c>
      <c r="C2341" s="384">
        <v>12</v>
      </c>
      <c r="D2341" s="367" t="s">
        <v>5</v>
      </c>
      <c r="E2341" s="367" t="s">
        <v>6</v>
      </c>
      <c r="F2341" s="389" t="s">
        <v>3839</v>
      </c>
      <c r="G2341" s="385">
        <v>45834</v>
      </c>
      <c r="H2341" s="367" t="s">
        <v>9</v>
      </c>
      <c r="I2341" s="368" t="str">
        <f>VLOOKUP(H2341,'Source Codes'!A$2:B$115,2,FALSE)</f>
        <v>On Line Journal Entries</v>
      </c>
      <c r="J2341" s="422">
        <v>1939031</v>
      </c>
      <c r="K2341" s="385">
        <v>45838</v>
      </c>
      <c r="L2341" s="369" t="s">
        <v>344</v>
      </c>
      <c r="M2341" s="390">
        <v>45838.873657407406</v>
      </c>
      <c r="N2341" s="368" t="s">
        <v>359</v>
      </c>
      <c r="O2341" s="368" t="s">
        <v>364</v>
      </c>
      <c r="P2341" s="368" t="s">
        <v>2290</v>
      </c>
      <c r="Q2341" s="366" t="s">
        <v>2232</v>
      </c>
      <c r="R2341" s="366" t="s">
        <v>2232</v>
      </c>
      <c r="S2341" s="366" t="s">
        <v>3704</v>
      </c>
    </row>
    <row r="2342" spans="1:19" ht="15" hidden="1" outlineLevel="1">
      <c r="B2342" s="384">
        <v>2025</v>
      </c>
      <c r="C2342" s="384">
        <v>12</v>
      </c>
      <c r="D2342" s="367" t="s">
        <v>5</v>
      </c>
      <c r="E2342" s="367" t="s">
        <v>6</v>
      </c>
      <c r="F2342" s="389" t="s">
        <v>3841</v>
      </c>
      <c r="G2342" s="385">
        <v>45833</v>
      </c>
      <c r="H2342" s="367" t="s">
        <v>7</v>
      </c>
      <c r="I2342" s="368" t="str">
        <f>VLOOKUP(H2342,'Source Codes'!A$2:B$115,2,FALSE)</f>
        <v>HRMS Interface Journals</v>
      </c>
      <c r="J2342" s="422">
        <v>-2578422.4700000002</v>
      </c>
      <c r="K2342" s="385">
        <v>45838</v>
      </c>
      <c r="L2342" s="369" t="s">
        <v>409</v>
      </c>
      <c r="M2342" s="390">
        <v>45838.376909722225</v>
      </c>
      <c r="N2342" s="368" t="s">
        <v>378</v>
      </c>
      <c r="O2342" s="368" t="s">
        <v>379</v>
      </c>
      <c r="P2342" s="368" t="str">
        <f>IF(J2342&gt;0,"Revenue",IF(J2342&lt;0,"Expense"))</f>
        <v>Expense</v>
      </c>
      <c r="Q2342" s="366" t="s">
        <v>379</v>
      </c>
      <c r="R2342" s="365" t="s">
        <v>3823</v>
      </c>
      <c r="S2342" s="366">
        <v>513120</v>
      </c>
    </row>
    <row r="2343" spans="1:19" ht="15" hidden="1" outlineLevel="1">
      <c r="B2343" s="384">
        <v>2025</v>
      </c>
      <c r="C2343" s="384">
        <v>12</v>
      </c>
      <c r="D2343" s="367" t="s">
        <v>5</v>
      </c>
      <c r="E2343" s="367" t="s">
        <v>6</v>
      </c>
      <c r="F2343" s="389" t="s">
        <v>3842</v>
      </c>
      <c r="G2343" s="385">
        <v>45833</v>
      </c>
      <c r="H2343" s="367" t="s">
        <v>7</v>
      </c>
      <c r="I2343" s="368" t="str">
        <f>VLOOKUP(H2343,'Source Codes'!A$2:B$115,2,FALSE)</f>
        <v>HRMS Interface Journals</v>
      </c>
      <c r="J2343" s="422">
        <v>-14022307.92</v>
      </c>
      <c r="K2343" s="385">
        <v>45838</v>
      </c>
      <c r="L2343" s="369" t="s">
        <v>407</v>
      </c>
      <c r="M2343" s="390">
        <v>45838.359733796293</v>
      </c>
      <c r="N2343" s="368" t="s">
        <v>378</v>
      </c>
      <c r="O2343" s="367" t="s">
        <v>379</v>
      </c>
      <c r="P2343" s="368" t="s">
        <v>2613</v>
      </c>
      <c r="Q2343" s="366" t="s">
        <v>379</v>
      </c>
      <c r="R2343" s="366" t="s">
        <v>3823</v>
      </c>
      <c r="S2343" s="366" t="s">
        <v>203</v>
      </c>
    </row>
    <row r="2344" spans="1:19" ht="12.75" customHeight="1" collapsed="1">
      <c r="J2344" s="413">
        <f>SUM(J2338:J2343)</f>
        <v>-2672967.3300000019</v>
      </c>
    </row>
    <row r="2346" spans="1:19" ht="12.75" customHeight="1">
      <c r="A2346" s="378" t="s">
        <v>3847</v>
      </c>
    </row>
    <row r="2347" spans="1:19" ht="45" hidden="1" outlineLevel="1">
      <c r="B2347" s="384">
        <v>2026</v>
      </c>
      <c r="C2347" s="384">
        <v>1</v>
      </c>
      <c r="D2347" s="367" t="s">
        <v>5</v>
      </c>
      <c r="E2347" s="367" t="s">
        <v>6</v>
      </c>
      <c r="F2347" s="389" t="s">
        <v>3848</v>
      </c>
      <c r="G2347" s="385">
        <v>45839</v>
      </c>
      <c r="H2347" s="367" t="s">
        <v>11</v>
      </c>
      <c r="I2347" s="368" t="str">
        <f>VLOOKUP(H2347,'Source Codes'!A$2:B$115,2,FALSE)</f>
        <v>AR Payments</v>
      </c>
      <c r="J2347" s="422">
        <v>4127565.05</v>
      </c>
      <c r="K2347" s="385">
        <v>45839</v>
      </c>
      <c r="L2347" s="369" t="s">
        <v>3849</v>
      </c>
      <c r="M2347" s="390">
        <v>45839.846944444442</v>
      </c>
      <c r="N2347" s="366" t="s">
        <v>356</v>
      </c>
      <c r="O2347" s="367" t="s">
        <v>357</v>
      </c>
      <c r="P2347" s="368" t="s">
        <v>2290</v>
      </c>
      <c r="Q2347" s="366" t="s">
        <v>2157</v>
      </c>
      <c r="R2347" s="366" t="s">
        <v>2857</v>
      </c>
      <c r="S2347" s="366">
        <v>118501</v>
      </c>
    </row>
    <row r="2348" spans="1:19" ht="12.75" customHeight="1" collapsed="1">
      <c r="J2348" s="413">
        <f>SUM(J2347)</f>
        <v>4127565.05</v>
      </c>
    </row>
    <row r="2350" spans="1:19" ht="12.75" customHeight="1">
      <c r="A2350" s="378" t="s">
        <v>3850</v>
      </c>
    </row>
    <row r="2351" spans="1:19" ht="75" hidden="1" outlineLevel="1">
      <c r="B2351" s="384">
        <v>2026</v>
      </c>
      <c r="C2351" s="384">
        <v>1</v>
      </c>
      <c r="D2351" s="367" t="s">
        <v>5</v>
      </c>
      <c r="E2351" s="367" t="s">
        <v>6</v>
      </c>
      <c r="F2351" s="389" t="s">
        <v>3851</v>
      </c>
      <c r="G2351" s="385">
        <v>45840</v>
      </c>
      <c r="H2351" s="367" t="s">
        <v>11</v>
      </c>
      <c r="I2351" s="368" t="str">
        <f>VLOOKUP(H2351,'Source Codes'!A$2:B$115,2,FALSE)</f>
        <v>AR Payments</v>
      </c>
      <c r="J2351" s="422">
        <v>1186325.74</v>
      </c>
      <c r="K2351" s="385">
        <v>45840</v>
      </c>
      <c r="L2351" s="369" t="s">
        <v>3871</v>
      </c>
      <c r="M2351" s="390">
        <v>45840.761921296296</v>
      </c>
      <c r="N2351" s="366" t="s">
        <v>356</v>
      </c>
      <c r="O2351" s="367" t="s">
        <v>357</v>
      </c>
      <c r="P2351" s="368" t="str">
        <f t="shared" ref="P2351:P2359" si="36">IF(J2351&gt;0,"Revenue",IF(J2351&lt;0,"Expense"))</f>
        <v>Revenue</v>
      </c>
      <c r="Q2351" s="366" t="s">
        <v>2157</v>
      </c>
      <c r="R2351" s="366" t="s">
        <v>2857</v>
      </c>
      <c r="S2351" s="366" t="s">
        <v>3863</v>
      </c>
    </row>
    <row r="2352" spans="1:19" ht="30" hidden="1" outlineLevel="1">
      <c r="B2352" s="384">
        <v>2025</v>
      </c>
      <c r="C2352" s="384">
        <v>12</v>
      </c>
      <c r="D2352" s="367" t="s">
        <v>5</v>
      </c>
      <c r="E2352" s="367" t="s">
        <v>6</v>
      </c>
      <c r="F2352" s="389" t="s">
        <v>3852</v>
      </c>
      <c r="G2352" s="385">
        <v>45838</v>
      </c>
      <c r="H2352" s="367" t="s">
        <v>12</v>
      </c>
      <c r="I2352" s="368" t="str">
        <f>VLOOKUP(H2352,'Source Codes'!A$2:B$115,2,FALSE)</f>
        <v>AR Direct Cash Journal</v>
      </c>
      <c r="J2352" s="422">
        <v>4524872.68</v>
      </c>
      <c r="K2352" s="385">
        <v>45840</v>
      </c>
      <c r="L2352" s="369" t="s">
        <v>3865</v>
      </c>
      <c r="M2352" s="390">
        <v>45840.761921296296</v>
      </c>
      <c r="N2352" s="368" t="s">
        <v>359</v>
      </c>
      <c r="O2352" s="368" t="s">
        <v>371</v>
      </c>
      <c r="P2352" s="368" t="str">
        <f t="shared" si="36"/>
        <v>Revenue</v>
      </c>
      <c r="Q2352" s="366" t="s">
        <v>2346</v>
      </c>
      <c r="R2352" s="365" t="s">
        <v>3864</v>
      </c>
      <c r="S2352" s="366">
        <v>750250</v>
      </c>
    </row>
    <row r="2353" spans="1:19" ht="45" hidden="1" outlineLevel="1">
      <c r="B2353" s="384">
        <v>2025</v>
      </c>
      <c r="C2353" s="384">
        <v>12</v>
      </c>
      <c r="D2353" s="367" t="s">
        <v>5</v>
      </c>
      <c r="E2353" s="367" t="s">
        <v>6</v>
      </c>
      <c r="F2353" s="389" t="s">
        <v>3853</v>
      </c>
      <c r="G2353" s="385">
        <v>45832</v>
      </c>
      <c r="H2353" s="367" t="s">
        <v>12</v>
      </c>
      <c r="I2353" s="368" t="str">
        <f>VLOOKUP(H2353,'Source Codes'!A$2:B$115,2,FALSE)</f>
        <v>AR Direct Cash Journal</v>
      </c>
      <c r="J2353" s="422">
        <v>25345490.789999999</v>
      </c>
      <c r="K2353" s="385">
        <v>45840</v>
      </c>
      <c r="L2353" s="369" t="s">
        <v>3866</v>
      </c>
      <c r="M2353" s="390">
        <v>45840.761921296296</v>
      </c>
      <c r="N2353" s="368" t="s">
        <v>359</v>
      </c>
      <c r="O2353" s="368" t="s">
        <v>368</v>
      </c>
      <c r="P2353" s="368" t="str">
        <f t="shared" si="36"/>
        <v>Revenue</v>
      </c>
      <c r="Q2353" s="366" t="s">
        <v>2177</v>
      </c>
      <c r="R2353" s="365" t="s">
        <v>2214</v>
      </c>
      <c r="S2353" s="366" t="s">
        <v>3867</v>
      </c>
    </row>
    <row r="2354" spans="1:19" ht="30" hidden="1" outlineLevel="1">
      <c r="B2354" s="384">
        <v>2025</v>
      </c>
      <c r="C2354" s="384">
        <v>12</v>
      </c>
      <c r="D2354" s="367" t="s">
        <v>5</v>
      </c>
      <c r="E2354" s="367" t="s">
        <v>6</v>
      </c>
      <c r="F2354" s="389" t="s">
        <v>3854</v>
      </c>
      <c r="G2354" s="385">
        <v>45833</v>
      </c>
      <c r="H2354" s="367" t="s">
        <v>9</v>
      </c>
      <c r="I2354" s="368" t="str">
        <f>VLOOKUP(H2354,'Source Codes'!A$2:B$115,2,FALSE)</f>
        <v>On Line Journal Entries</v>
      </c>
      <c r="J2354" s="422">
        <v>16036228.529999999</v>
      </c>
      <c r="K2354" s="385">
        <v>45840</v>
      </c>
      <c r="L2354" s="369" t="s">
        <v>344</v>
      </c>
      <c r="M2354" s="390">
        <v>45840.870115740741</v>
      </c>
      <c r="N2354" s="368" t="s">
        <v>359</v>
      </c>
      <c r="O2354" s="368" t="s">
        <v>364</v>
      </c>
      <c r="P2354" s="368" t="str">
        <f t="shared" si="36"/>
        <v>Revenue</v>
      </c>
      <c r="Q2354" s="366" t="s">
        <v>2232</v>
      </c>
      <c r="R2354" s="366" t="s">
        <v>2232</v>
      </c>
      <c r="S2354" s="366" t="s">
        <v>3044</v>
      </c>
    </row>
    <row r="2355" spans="1:19" ht="30" hidden="1" outlineLevel="1">
      <c r="B2355" s="384">
        <v>2025</v>
      </c>
      <c r="C2355" s="384">
        <v>12</v>
      </c>
      <c r="D2355" s="367" t="s">
        <v>5</v>
      </c>
      <c r="E2355" s="367" t="s">
        <v>6</v>
      </c>
      <c r="F2355" s="389" t="s">
        <v>3855</v>
      </c>
      <c r="G2355" s="385">
        <v>45835</v>
      </c>
      <c r="H2355" s="367" t="s">
        <v>9</v>
      </c>
      <c r="I2355" s="368" t="str">
        <f>VLOOKUP(H2355,'Source Codes'!A$2:B$115,2,FALSE)</f>
        <v>On Line Journal Entries</v>
      </c>
      <c r="J2355" s="422">
        <v>8632311</v>
      </c>
      <c r="K2355" s="385">
        <v>45840</v>
      </c>
      <c r="L2355" s="369" t="s">
        <v>344</v>
      </c>
      <c r="M2355" s="390">
        <v>45840.870115740741</v>
      </c>
      <c r="N2355" s="368" t="s">
        <v>359</v>
      </c>
      <c r="O2355" s="368" t="s">
        <v>364</v>
      </c>
      <c r="P2355" s="368" t="str">
        <f t="shared" si="36"/>
        <v>Revenue</v>
      </c>
      <c r="Q2355" s="366" t="s">
        <v>2232</v>
      </c>
      <c r="R2355" s="366" t="s">
        <v>2232</v>
      </c>
      <c r="S2355" s="366" t="s">
        <v>3868</v>
      </c>
    </row>
    <row r="2356" spans="1:19" ht="30" hidden="1" outlineLevel="1">
      <c r="B2356" s="384">
        <v>2025</v>
      </c>
      <c r="C2356" s="384">
        <v>12</v>
      </c>
      <c r="D2356" s="367" t="s">
        <v>5</v>
      </c>
      <c r="E2356" s="367" t="s">
        <v>6</v>
      </c>
      <c r="F2356" s="389" t="s">
        <v>3856</v>
      </c>
      <c r="G2356" s="385">
        <v>45835</v>
      </c>
      <c r="H2356" s="367" t="s">
        <v>9</v>
      </c>
      <c r="I2356" s="368" t="str">
        <f>VLOOKUP(H2356,'Source Codes'!A$2:B$115,2,FALSE)</f>
        <v>On Line Journal Entries</v>
      </c>
      <c r="J2356" s="422">
        <v>8171419.0999999996</v>
      </c>
      <c r="K2356" s="385">
        <v>45840</v>
      </c>
      <c r="L2356" s="369" t="s">
        <v>344</v>
      </c>
      <c r="M2356" s="390">
        <v>45840.870115740741</v>
      </c>
      <c r="N2356" s="368" t="s">
        <v>359</v>
      </c>
      <c r="O2356" s="368" t="s">
        <v>364</v>
      </c>
      <c r="P2356" s="368" t="str">
        <f t="shared" si="36"/>
        <v>Revenue</v>
      </c>
      <c r="Q2356" s="366" t="s">
        <v>2232</v>
      </c>
      <c r="R2356" s="366" t="s">
        <v>2232</v>
      </c>
      <c r="S2356" s="366" t="s">
        <v>2233</v>
      </c>
    </row>
    <row r="2357" spans="1:19" ht="45" hidden="1" outlineLevel="1">
      <c r="B2357" s="384">
        <v>2025</v>
      </c>
      <c r="C2357" s="384">
        <v>12</v>
      </c>
      <c r="D2357" s="367" t="s">
        <v>5</v>
      </c>
      <c r="E2357" s="367" t="s">
        <v>6</v>
      </c>
      <c r="F2357" s="389" t="s">
        <v>3857</v>
      </c>
      <c r="G2357" s="385">
        <v>45832</v>
      </c>
      <c r="H2357" s="367" t="s">
        <v>9</v>
      </c>
      <c r="I2357" s="368" t="str">
        <f>VLOOKUP(H2357,'Source Codes'!A$2:B$115,2,FALSE)</f>
        <v>On Line Journal Entries</v>
      </c>
      <c r="J2357" s="422">
        <v>4315467</v>
      </c>
      <c r="K2357" s="385">
        <v>45840</v>
      </c>
      <c r="L2357" s="369" t="s">
        <v>3858</v>
      </c>
      <c r="M2357" s="390">
        <v>45840.870115740741</v>
      </c>
      <c r="N2357" s="368" t="s">
        <v>2185</v>
      </c>
      <c r="O2357" s="368" t="s">
        <v>358</v>
      </c>
      <c r="P2357" s="368" t="str">
        <f t="shared" si="36"/>
        <v>Revenue</v>
      </c>
      <c r="Q2357" s="366" t="s">
        <v>3869</v>
      </c>
      <c r="R2357" s="366" t="s">
        <v>3869</v>
      </c>
      <c r="S2357" s="366">
        <v>790600</v>
      </c>
    </row>
    <row r="2358" spans="1:19" ht="15" hidden="1" outlineLevel="1">
      <c r="B2358" s="384">
        <v>2025</v>
      </c>
      <c r="C2358" s="384">
        <v>12</v>
      </c>
      <c r="D2358" s="367" t="s">
        <v>5</v>
      </c>
      <c r="E2358" s="367" t="s">
        <v>6</v>
      </c>
      <c r="F2358" s="389" t="s">
        <v>3859</v>
      </c>
      <c r="G2358" s="385">
        <v>45817</v>
      </c>
      <c r="H2358" s="367" t="s">
        <v>337</v>
      </c>
      <c r="I2358" s="368" t="str">
        <f>VLOOKUP(H2358,'Source Codes'!A$2:B$115,2,FALSE)</f>
        <v>Facilities Mngmnt Intfc Jrnls</v>
      </c>
      <c r="J2358" s="422">
        <v>-2326171.27</v>
      </c>
      <c r="K2358" s="385">
        <v>45840</v>
      </c>
      <c r="L2358" s="369" t="s">
        <v>3861</v>
      </c>
      <c r="M2358" s="390">
        <v>45840.870219907411</v>
      </c>
      <c r="N2358" s="368" t="s">
        <v>359</v>
      </c>
      <c r="O2358" s="368" t="s">
        <v>367</v>
      </c>
      <c r="P2358" s="368" t="str">
        <f t="shared" si="36"/>
        <v>Expense</v>
      </c>
      <c r="Q2358" s="366" t="s">
        <v>2337</v>
      </c>
      <c r="R2358" s="365" t="s">
        <v>3870</v>
      </c>
      <c r="S2358" s="366">
        <v>522385</v>
      </c>
    </row>
    <row r="2359" spans="1:19" ht="15" hidden="1" outlineLevel="1">
      <c r="B2359" s="384">
        <v>2026</v>
      </c>
      <c r="C2359" s="384">
        <v>1</v>
      </c>
      <c r="D2359" s="367" t="s">
        <v>5</v>
      </c>
      <c r="E2359" s="367" t="s">
        <v>6</v>
      </c>
      <c r="F2359" s="389" t="s">
        <v>3860</v>
      </c>
      <c r="G2359" s="385">
        <v>45839</v>
      </c>
      <c r="H2359" s="367" t="s">
        <v>13</v>
      </c>
      <c r="I2359" s="368" t="str">
        <f>VLOOKUP(H2359,'Source Codes'!A$2:B$115,2,FALSE)</f>
        <v>C-IV Voucher/Payments/EBT</v>
      </c>
      <c r="J2359" s="422">
        <v>-11718010.880000001</v>
      </c>
      <c r="K2359" s="385">
        <v>45840</v>
      </c>
      <c r="L2359" s="369" t="s">
        <v>3862</v>
      </c>
      <c r="M2359" s="390">
        <v>45840.870138888888</v>
      </c>
      <c r="N2359" s="368" t="s">
        <v>356</v>
      </c>
      <c r="O2359" s="368" t="s">
        <v>364</v>
      </c>
      <c r="P2359" s="368" t="str">
        <f t="shared" si="36"/>
        <v>Expense</v>
      </c>
      <c r="Q2359" s="366" t="s">
        <v>2204</v>
      </c>
      <c r="R2359" s="365">
        <v>45809</v>
      </c>
      <c r="S2359" s="366">
        <v>530480</v>
      </c>
    </row>
    <row r="2360" spans="1:19" ht="12.75" customHeight="1" collapsed="1">
      <c r="I2360" s="368"/>
      <c r="J2360" s="413">
        <f>SUM(J2351:J2359)</f>
        <v>54167932.689999998</v>
      </c>
    </row>
    <row r="2361" spans="1:19" ht="12.75" customHeight="1">
      <c r="I2361" s="368"/>
    </row>
    <row r="2362" spans="1:19" ht="12.75" customHeight="1">
      <c r="A2362" s="378" t="s">
        <v>3872</v>
      </c>
      <c r="I2362" s="368"/>
    </row>
    <row r="2363" spans="1:19" ht="60" hidden="1" outlineLevel="1">
      <c r="B2363" s="384">
        <v>2026</v>
      </c>
      <c r="C2363" s="384">
        <v>1</v>
      </c>
      <c r="D2363" s="367" t="s">
        <v>5</v>
      </c>
      <c r="E2363" s="367" t="s">
        <v>6</v>
      </c>
      <c r="F2363" s="389" t="s">
        <v>3873</v>
      </c>
      <c r="G2363" s="385">
        <v>45840</v>
      </c>
      <c r="H2363" s="367" t="s">
        <v>11</v>
      </c>
      <c r="I2363" s="368" t="str">
        <f>VLOOKUP(H2363,'Source Codes'!A$2:B$115,2,FALSE)</f>
        <v>AR Payments</v>
      </c>
      <c r="J2363" s="422">
        <v>2067289.84</v>
      </c>
      <c r="K2363" s="385">
        <v>45841</v>
      </c>
      <c r="L2363" s="369" t="s">
        <v>3874</v>
      </c>
      <c r="M2363" s="390">
        <v>45841.752349537041</v>
      </c>
      <c r="N2363" s="366" t="s">
        <v>356</v>
      </c>
      <c r="O2363" s="367" t="s">
        <v>357</v>
      </c>
      <c r="P2363" s="368" t="str">
        <f t="shared" ref="P2363:P2368" si="37">IF(J2363&gt;0,"Revenue",IF(J2363&lt;0,"Expense"))</f>
        <v>Revenue</v>
      </c>
      <c r="Q2363" s="366" t="s">
        <v>2157</v>
      </c>
      <c r="R2363" s="366" t="s">
        <v>2857</v>
      </c>
      <c r="S2363" s="366" t="s">
        <v>2531</v>
      </c>
    </row>
    <row r="2364" spans="1:19" ht="75" hidden="1" outlineLevel="1">
      <c r="B2364" s="384">
        <v>2026</v>
      </c>
      <c r="C2364" s="384">
        <v>1</v>
      </c>
      <c r="D2364" s="367" t="s">
        <v>5</v>
      </c>
      <c r="E2364" s="367" t="s">
        <v>6</v>
      </c>
      <c r="F2364" s="389" t="s">
        <v>3875</v>
      </c>
      <c r="G2364" s="385">
        <v>45841</v>
      </c>
      <c r="H2364" s="367" t="s">
        <v>11</v>
      </c>
      <c r="I2364" s="368" t="str">
        <f>VLOOKUP(H2364,'Source Codes'!A$2:B$115,2,FALSE)</f>
        <v>AR Payments</v>
      </c>
      <c r="J2364" s="422">
        <v>7904901.3200000003</v>
      </c>
      <c r="K2364" s="385">
        <v>45841</v>
      </c>
      <c r="L2364" s="369" t="s">
        <v>3876</v>
      </c>
      <c r="M2364" s="390">
        <v>45841.752349537041</v>
      </c>
      <c r="N2364" s="366" t="s">
        <v>356</v>
      </c>
      <c r="O2364" s="367" t="s">
        <v>357</v>
      </c>
      <c r="P2364" s="368" t="str">
        <f t="shared" si="37"/>
        <v>Revenue</v>
      </c>
      <c r="Q2364" s="366" t="s">
        <v>2157</v>
      </c>
      <c r="R2364" s="366" t="s">
        <v>2857</v>
      </c>
      <c r="S2364" s="366" t="s">
        <v>2803</v>
      </c>
    </row>
    <row r="2365" spans="1:19" ht="15" hidden="1" outlineLevel="1">
      <c r="B2365" s="384">
        <v>2026</v>
      </c>
      <c r="C2365" s="384">
        <v>1</v>
      </c>
      <c r="D2365" s="367" t="s">
        <v>5</v>
      </c>
      <c r="E2365" s="367" t="s">
        <v>6</v>
      </c>
      <c r="F2365" s="389" t="s">
        <v>3877</v>
      </c>
      <c r="G2365" s="385">
        <v>45839</v>
      </c>
      <c r="H2365" s="367" t="s">
        <v>13</v>
      </c>
      <c r="I2365" s="368" t="str">
        <f>VLOOKUP(H2365,'Source Codes'!A$2:B$115,2,FALSE)</f>
        <v>C-IV Voucher/Payments/EBT</v>
      </c>
      <c r="J2365" s="422">
        <v>-9812634.1199999992</v>
      </c>
      <c r="K2365" s="385">
        <v>45841</v>
      </c>
      <c r="L2365" s="369" t="s">
        <v>3881</v>
      </c>
      <c r="M2365" s="390">
        <v>45841.871122685188</v>
      </c>
      <c r="N2365" s="366" t="s">
        <v>356</v>
      </c>
      <c r="O2365" s="367" t="s">
        <v>381</v>
      </c>
      <c r="P2365" s="368" t="str">
        <f t="shared" si="37"/>
        <v>Expense</v>
      </c>
      <c r="Q2365" s="366" t="s">
        <v>3884</v>
      </c>
      <c r="R2365" s="409">
        <v>45863</v>
      </c>
      <c r="S2365" s="366">
        <v>530480</v>
      </c>
    </row>
    <row r="2366" spans="1:19" ht="15" hidden="1" outlineLevel="1">
      <c r="B2366" s="384">
        <v>2026</v>
      </c>
      <c r="C2366" s="384">
        <v>1</v>
      </c>
      <c r="D2366" s="367" t="s">
        <v>5</v>
      </c>
      <c r="E2366" s="367" t="s">
        <v>6</v>
      </c>
      <c r="F2366" s="389" t="s">
        <v>3878</v>
      </c>
      <c r="G2366" s="385">
        <v>45839</v>
      </c>
      <c r="H2366" s="367" t="s">
        <v>13</v>
      </c>
      <c r="I2366" s="368" t="str">
        <f>VLOOKUP(H2366,'Source Codes'!A$2:B$115,2,FALSE)</f>
        <v>C-IV Voucher/Payments/EBT</v>
      </c>
      <c r="J2366" s="422">
        <v>-16774100.49</v>
      </c>
      <c r="K2366" s="385">
        <v>45841</v>
      </c>
      <c r="L2366" s="369" t="s">
        <v>3882</v>
      </c>
      <c r="M2366" s="390">
        <v>45841.871122685188</v>
      </c>
      <c r="N2366" s="366" t="s">
        <v>356</v>
      </c>
      <c r="O2366" s="367" t="s">
        <v>381</v>
      </c>
      <c r="P2366" s="368" t="str">
        <f t="shared" si="37"/>
        <v>Expense</v>
      </c>
      <c r="Q2366" s="366" t="s">
        <v>3884</v>
      </c>
      <c r="R2366" s="409">
        <v>45833</v>
      </c>
      <c r="S2366" s="366">
        <v>530480</v>
      </c>
    </row>
    <row r="2367" spans="1:19" ht="15" hidden="1" outlineLevel="1">
      <c r="B2367" s="384">
        <v>2025</v>
      </c>
      <c r="C2367" s="384">
        <v>12</v>
      </c>
      <c r="D2367" s="367" t="s">
        <v>5</v>
      </c>
      <c r="E2367" s="367" t="s">
        <v>6</v>
      </c>
      <c r="F2367" s="389" t="s">
        <v>3879</v>
      </c>
      <c r="G2367" s="385">
        <v>45833</v>
      </c>
      <c r="H2367" s="367" t="s">
        <v>7</v>
      </c>
      <c r="I2367" s="368" t="str">
        <f>VLOOKUP(H2367,'Source Codes'!A$2:B$115,2,FALSE)</f>
        <v>HRMS Interface Journals</v>
      </c>
      <c r="J2367" s="422">
        <v>-72111518.239999995</v>
      </c>
      <c r="K2367" s="385">
        <v>45841</v>
      </c>
      <c r="L2367" s="369" t="s">
        <v>406</v>
      </c>
      <c r="M2367" s="390">
        <v>45841.322071759256</v>
      </c>
      <c r="N2367" s="366" t="s">
        <v>378</v>
      </c>
      <c r="O2367" s="367" t="s">
        <v>371</v>
      </c>
      <c r="P2367" s="368" t="str">
        <f t="shared" si="37"/>
        <v>Expense</v>
      </c>
      <c r="Q2367" s="366" t="s">
        <v>379</v>
      </c>
      <c r="R2367" s="366" t="s">
        <v>3823</v>
      </c>
      <c r="S2367" s="366" t="s">
        <v>203</v>
      </c>
    </row>
    <row r="2368" spans="1:19" ht="30" hidden="1" outlineLevel="1">
      <c r="B2368" s="384">
        <v>2026</v>
      </c>
      <c r="C2368" s="384">
        <v>1</v>
      </c>
      <c r="D2368" s="367" t="s">
        <v>5</v>
      </c>
      <c r="E2368" s="367" t="s">
        <v>6</v>
      </c>
      <c r="F2368" s="389" t="s">
        <v>3880</v>
      </c>
      <c r="G2368" s="385">
        <v>45839</v>
      </c>
      <c r="H2368" s="367" t="s">
        <v>9</v>
      </c>
      <c r="I2368" s="368" t="str">
        <f>VLOOKUP(H2368,'Source Codes'!A$2:B$115,2,FALSE)</f>
        <v>On Line Journal Entries</v>
      </c>
      <c r="J2368" s="422">
        <v>-89593595.650000006</v>
      </c>
      <c r="K2368" s="385">
        <v>45841</v>
      </c>
      <c r="L2368" s="369" t="s">
        <v>3883</v>
      </c>
      <c r="M2368" s="390">
        <v>45841.601805555554</v>
      </c>
      <c r="N2368" s="366" t="s">
        <v>387</v>
      </c>
      <c r="O2368" s="367" t="s">
        <v>371</v>
      </c>
      <c r="P2368" s="368" t="str">
        <f t="shared" si="37"/>
        <v>Expense</v>
      </c>
      <c r="Q2368" s="366" t="s">
        <v>2176</v>
      </c>
      <c r="R2368" s="366" t="s">
        <v>2176</v>
      </c>
      <c r="S2368" s="366">
        <v>132600</v>
      </c>
    </row>
    <row r="2369" spans="1:19" ht="12.75" customHeight="1" collapsed="1">
      <c r="I2369" s="368"/>
      <c r="J2369" s="413">
        <f>SUM(J2363:J2368)</f>
        <v>-178319657.34</v>
      </c>
      <c r="P2369" s="368"/>
    </row>
    <row r="2370" spans="1:19" ht="12.75" customHeight="1">
      <c r="I2370" s="368"/>
      <c r="P2370" s="368"/>
    </row>
    <row r="2371" spans="1:19" ht="12.75" customHeight="1">
      <c r="A2371" s="378" t="s">
        <v>3885</v>
      </c>
      <c r="I2371" s="368"/>
      <c r="P2371" s="368"/>
    </row>
    <row r="2372" spans="1:19" ht="30" hidden="1" outlineLevel="1">
      <c r="B2372" s="384">
        <v>2026</v>
      </c>
      <c r="C2372" s="384">
        <v>1</v>
      </c>
      <c r="D2372" s="367" t="s">
        <v>5</v>
      </c>
      <c r="E2372" s="367" t="s">
        <v>6</v>
      </c>
      <c r="F2372" s="389" t="s">
        <v>3886</v>
      </c>
      <c r="G2372" s="385">
        <v>45847</v>
      </c>
      <c r="H2372" s="367" t="s">
        <v>14</v>
      </c>
      <c r="I2372" s="368" t="str">
        <f>VLOOKUP(H2372,'Source Codes'!A$2:B$115,2,FALSE)</f>
        <v>AP Warrant Issuance</v>
      </c>
      <c r="J2372" s="422">
        <v>-2313681.15</v>
      </c>
      <c r="K2372" s="385">
        <v>45845</v>
      </c>
      <c r="L2372" s="369" t="s">
        <v>3896</v>
      </c>
      <c r="M2372" s="390">
        <v>45845.757615740738</v>
      </c>
      <c r="N2372" s="366" t="s">
        <v>356</v>
      </c>
      <c r="O2372" s="367" t="s">
        <v>368</v>
      </c>
      <c r="P2372" s="368" t="str">
        <f t="shared" ref="P2372:P2378" si="38">IF(J2372&gt;0,"Revenue",IF(J2372&lt;0,"Expense"))</f>
        <v>Expense</v>
      </c>
      <c r="Q2372" s="366" t="s">
        <v>2154</v>
      </c>
      <c r="R2372" s="366" t="s">
        <v>2154</v>
      </c>
      <c r="S2372" s="366" t="s">
        <v>3888</v>
      </c>
    </row>
    <row r="2373" spans="1:19" ht="30" hidden="1" outlineLevel="1">
      <c r="B2373" s="384">
        <v>2026</v>
      </c>
      <c r="C2373" s="384">
        <v>1</v>
      </c>
      <c r="D2373" s="367" t="s">
        <v>5</v>
      </c>
      <c r="E2373" s="367" t="s">
        <v>6</v>
      </c>
      <c r="F2373" s="389" t="s">
        <v>3887</v>
      </c>
      <c r="G2373" s="385">
        <v>45845</v>
      </c>
      <c r="H2373" s="367" t="s">
        <v>11</v>
      </c>
      <c r="I2373" s="368" t="str">
        <f>VLOOKUP(H2373,'Source Codes'!A$2:B$115,2,FALSE)</f>
        <v>AR Payments</v>
      </c>
      <c r="J2373" s="422">
        <v>1390972.17</v>
      </c>
      <c r="K2373" s="385">
        <v>45845</v>
      </c>
      <c r="L2373" s="369" t="s">
        <v>3897</v>
      </c>
      <c r="M2373" s="390">
        <v>45845.75240740741</v>
      </c>
      <c r="N2373" s="366" t="s">
        <v>356</v>
      </c>
      <c r="O2373" s="367" t="s">
        <v>357</v>
      </c>
      <c r="P2373" s="368" t="str">
        <f t="shared" si="38"/>
        <v>Revenue</v>
      </c>
      <c r="Q2373" s="366" t="s">
        <v>2157</v>
      </c>
      <c r="R2373" s="366" t="s">
        <v>2857</v>
      </c>
      <c r="S2373" s="366">
        <v>118501</v>
      </c>
    </row>
    <row r="2374" spans="1:19" ht="45" hidden="1" outlineLevel="1">
      <c r="B2374" s="384">
        <v>2025</v>
      </c>
      <c r="C2374" s="384">
        <v>12</v>
      </c>
      <c r="D2374" s="367" t="s">
        <v>5</v>
      </c>
      <c r="E2374" s="367" t="s">
        <v>6</v>
      </c>
      <c r="F2374" s="389" t="s">
        <v>3889</v>
      </c>
      <c r="G2374" s="385">
        <v>45838</v>
      </c>
      <c r="H2374" s="367" t="s">
        <v>9</v>
      </c>
      <c r="I2374" s="368" t="str">
        <f>VLOOKUP(H2374,'Source Codes'!A$2:B$115,2,FALSE)</f>
        <v>On Line Journal Entries</v>
      </c>
      <c r="J2374" s="422">
        <v>5803454</v>
      </c>
      <c r="K2374" s="385">
        <v>45845</v>
      </c>
      <c r="L2374" s="369" t="s">
        <v>352</v>
      </c>
      <c r="M2374" s="390">
        <v>45845.869988425926</v>
      </c>
      <c r="N2374" s="366" t="s">
        <v>356</v>
      </c>
      <c r="O2374" s="367" t="s">
        <v>364</v>
      </c>
      <c r="P2374" s="368" t="str">
        <f t="shared" si="38"/>
        <v>Revenue</v>
      </c>
      <c r="Q2374" s="366" t="s">
        <v>2232</v>
      </c>
      <c r="R2374" s="366" t="s">
        <v>2232</v>
      </c>
      <c r="S2374" s="366" t="s">
        <v>2789</v>
      </c>
    </row>
    <row r="2375" spans="1:19" ht="45" hidden="1" outlineLevel="1">
      <c r="B2375" s="384">
        <v>2025</v>
      </c>
      <c r="C2375" s="384">
        <v>12</v>
      </c>
      <c r="D2375" s="367" t="s">
        <v>5</v>
      </c>
      <c r="E2375" s="367" t="s">
        <v>6</v>
      </c>
      <c r="F2375" s="389" t="s">
        <v>3890</v>
      </c>
      <c r="G2375" s="385">
        <v>45838</v>
      </c>
      <c r="H2375" s="367" t="s">
        <v>9</v>
      </c>
      <c r="I2375" s="368" t="str">
        <f>VLOOKUP(H2375,'Source Codes'!A$2:B$115,2,FALSE)</f>
        <v>On Line Journal Entries</v>
      </c>
      <c r="J2375" s="422">
        <v>5773056</v>
      </c>
      <c r="K2375" s="385">
        <v>45845</v>
      </c>
      <c r="L2375" s="369" t="s">
        <v>352</v>
      </c>
      <c r="M2375" s="390">
        <v>45845.869988425926</v>
      </c>
      <c r="N2375" s="366" t="s">
        <v>356</v>
      </c>
      <c r="O2375" s="367" t="s">
        <v>364</v>
      </c>
      <c r="P2375" s="368" t="str">
        <f t="shared" si="38"/>
        <v>Revenue</v>
      </c>
      <c r="Q2375" s="366" t="s">
        <v>2232</v>
      </c>
      <c r="R2375" s="366" t="s">
        <v>2232</v>
      </c>
      <c r="S2375" s="366" t="s">
        <v>2789</v>
      </c>
    </row>
    <row r="2376" spans="1:19" ht="30" hidden="1" outlineLevel="1">
      <c r="B2376" s="384">
        <v>2025</v>
      </c>
      <c r="C2376" s="384">
        <v>12</v>
      </c>
      <c r="D2376" s="367" t="s">
        <v>5</v>
      </c>
      <c r="E2376" s="367" t="s">
        <v>6</v>
      </c>
      <c r="F2376" s="389" t="s">
        <v>3891</v>
      </c>
      <c r="G2376" s="385">
        <v>45838</v>
      </c>
      <c r="H2376" s="367" t="s">
        <v>9</v>
      </c>
      <c r="I2376" s="368" t="str">
        <f>VLOOKUP(H2376,'Source Codes'!A$2:B$115,2,FALSE)</f>
        <v>On Line Journal Entries</v>
      </c>
      <c r="J2376" s="422">
        <v>5360119</v>
      </c>
      <c r="K2376" s="385">
        <v>45845</v>
      </c>
      <c r="L2376" s="369" t="s">
        <v>334</v>
      </c>
      <c r="M2376" s="390">
        <v>45845.869988425926</v>
      </c>
      <c r="N2376" s="366" t="s">
        <v>356</v>
      </c>
      <c r="O2376" s="367" t="s">
        <v>364</v>
      </c>
      <c r="P2376" s="368" t="str">
        <f t="shared" si="38"/>
        <v>Revenue</v>
      </c>
      <c r="Q2376" s="366" t="s">
        <v>2232</v>
      </c>
      <c r="R2376" s="366" t="s">
        <v>2232</v>
      </c>
      <c r="S2376" s="366">
        <v>750741</v>
      </c>
    </row>
    <row r="2377" spans="1:19" ht="30" hidden="1" outlineLevel="1">
      <c r="B2377" s="384">
        <v>2025</v>
      </c>
      <c r="C2377" s="384">
        <v>12</v>
      </c>
      <c r="D2377" s="367" t="s">
        <v>5</v>
      </c>
      <c r="E2377" s="367" t="s">
        <v>6</v>
      </c>
      <c r="F2377" s="389" t="s">
        <v>3892</v>
      </c>
      <c r="G2377" s="385">
        <v>45838</v>
      </c>
      <c r="H2377" s="367" t="s">
        <v>9</v>
      </c>
      <c r="I2377" s="368" t="str">
        <f>VLOOKUP(H2377,'Source Codes'!A$2:B$115,2,FALSE)</f>
        <v>On Line Journal Entries</v>
      </c>
      <c r="J2377" s="422">
        <v>1379261.84</v>
      </c>
      <c r="K2377" s="385">
        <v>45845</v>
      </c>
      <c r="L2377" s="369" t="s">
        <v>3893</v>
      </c>
      <c r="M2377" s="390">
        <v>45845.869988425926</v>
      </c>
      <c r="N2377" s="366" t="s">
        <v>361</v>
      </c>
      <c r="O2377" s="367" t="s">
        <v>510</v>
      </c>
      <c r="P2377" s="368" t="str">
        <f t="shared" si="38"/>
        <v>Revenue</v>
      </c>
      <c r="Q2377" s="366" t="s">
        <v>2122</v>
      </c>
      <c r="R2377" s="366" t="s">
        <v>3894</v>
      </c>
      <c r="S2377" s="366">
        <v>781100</v>
      </c>
    </row>
    <row r="2378" spans="1:19" ht="45" hidden="1" outlineLevel="1">
      <c r="B2378" s="384">
        <v>2025</v>
      </c>
      <c r="C2378" s="384">
        <v>12</v>
      </c>
      <c r="D2378" s="367" t="s">
        <v>5</v>
      </c>
      <c r="E2378" s="367" t="s">
        <v>6</v>
      </c>
      <c r="F2378" s="389" t="s">
        <v>3895</v>
      </c>
      <c r="G2378" s="385">
        <v>45838</v>
      </c>
      <c r="H2378" s="367" t="s">
        <v>9</v>
      </c>
      <c r="I2378" s="368" t="str">
        <f>VLOOKUP(H2378,'Source Codes'!A$2:B$115,2,FALSE)</f>
        <v>On Line Journal Entries</v>
      </c>
      <c r="J2378" s="422">
        <v>-1360770</v>
      </c>
      <c r="K2378" s="385">
        <v>45845</v>
      </c>
      <c r="L2378" s="369" t="s">
        <v>3439</v>
      </c>
      <c r="M2378" s="390">
        <v>45845.869988425926</v>
      </c>
      <c r="N2378" s="366" t="s">
        <v>356</v>
      </c>
      <c r="O2378" s="367" t="s">
        <v>364</v>
      </c>
      <c r="P2378" s="368" t="str">
        <f t="shared" si="38"/>
        <v>Expense</v>
      </c>
      <c r="Q2378" s="366" t="s">
        <v>2232</v>
      </c>
      <c r="R2378" s="366" t="s">
        <v>3454</v>
      </c>
      <c r="S2378" s="366">
        <v>750740</v>
      </c>
    </row>
    <row r="2379" spans="1:19" ht="12.75" customHeight="1" collapsed="1">
      <c r="I2379" s="368"/>
      <c r="J2379" s="413">
        <f>SUM(J2372:J2378)</f>
        <v>16032411.859999999</v>
      </c>
      <c r="P2379" s="368"/>
    </row>
    <row r="2380" spans="1:19" ht="12.75" customHeight="1">
      <c r="I2380" s="368"/>
      <c r="P2380" s="368"/>
    </row>
    <row r="2381" spans="1:19" ht="12.75" customHeight="1">
      <c r="A2381" s="378" t="s">
        <v>3898</v>
      </c>
      <c r="I2381" s="368"/>
      <c r="P2381" s="368"/>
    </row>
    <row r="2382" spans="1:19" ht="30" hidden="1" outlineLevel="1">
      <c r="B2382" s="384">
        <v>2026</v>
      </c>
      <c r="C2382" s="384">
        <v>1</v>
      </c>
      <c r="D2382" s="367" t="s">
        <v>5</v>
      </c>
      <c r="E2382" s="367" t="s">
        <v>6</v>
      </c>
      <c r="F2382" s="389" t="s">
        <v>3899</v>
      </c>
      <c r="G2382" s="385">
        <v>45846</v>
      </c>
      <c r="H2382" s="367" t="s">
        <v>14</v>
      </c>
      <c r="I2382" s="368" t="str">
        <f>VLOOKUP(H2382,'Source Codes'!A$2:B$115,2,FALSE)</f>
        <v>AP Warrant Issuance</v>
      </c>
      <c r="J2382" s="422">
        <v>-1072050.24</v>
      </c>
      <c r="K2382" s="385">
        <v>45846</v>
      </c>
      <c r="L2382" s="369" t="s">
        <v>3900</v>
      </c>
      <c r="M2382" s="390">
        <v>45846.757013888891</v>
      </c>
      <c r="N2382" s="366" t="s">
        <v>356</v>
      </c>
      <c r="O2382" s="367" t="s">
        <v>357</v>
      </c>
      <c r="P2382" s="368" t="str">
        <f>IF(J2382&gt;0,"Revenue",IF(J2382&lt;0,"Expense"))</f>
        <v>Expense</v>
      </c>
      <c r="Q2382" s="366" t="s">
        <v>3757</v>
      </c>
      <c r="R2382" s="366" t="s">
        <v>3758</v>
      </c>
      <c r="S2382" s="366" t="s">
        <v>203</v>
      </c>
    </row>
    <row r="2383" spans="1:19" ht="30" hidden="1" outlineLevel="1">
      <c r="B2383" s="384">
        <v>2026</v>
      </c>
      <c r="C2383" s="384">
        <v>1</v>
      </c>
      <c r="D2383" s="367" t="s">
        <v>5</v>
      </c>
      <c r="E2383" s="367" t="s">
        <v>6</v>
      </c>
      <c r="F2383" s="389" t="s">
        <v>3902</v>
      </c>
      <c r="G2383" s="385">
        <v>45841</v>
      </c>
      <c r="H2383" s="367" t="s">
        <v>12</v>
      </c>
      <c r="I2383" s="368" t="str">
        <f>VLOOKUP(H2383,'Source Codes'!A$2:B$115,2,FALSE)</f>
        <v>AR Direct Cash Journal</v>
      </c>
      <c r="J2383" s="422">
        <v>4219773.5</v>
      </c>
      <c r="K2383" s="385">
        <v>45846</v>
      </c>
      <c r="L2383" s="369" t="s">
        <v>3903</v>
      </c>
      <c r="M2383" s="390">
        <v>45846.752268518518</v>
      </c>
      <c r="N2383" s="366" t="s">
        <v>361</v>
      </c>
      <c r="O2383" s="367" t="s">
        <v>370</v>
      </c>
      <c r="P2383" s="368" t="str">
        <f>IF(J2383&gt;0,"Revenue",IF(J2383&lt;0,"Expense"))</f>
        <v>Revenue</v>
      </c>
      <c r="Q2383" s="366" t="s">
        <v>2264</v>
      </c>
      <c r="R2383" s="366" t="s">
        <v>3664</v>
      </c>
      <c r="S2383" s="366" t="s">
        <v>203</v>
      </c>
    </row>
    <row r="2384" spans="1:19" ht="30" hidden="1" outlineLevel="1">
      <c r="B2384" s="384">
        <v>2026</v>
      </c>
      <c r="C2384" s="384">
        <v>1</v>
      </c>
      <c r="D2384" s="367" t="s">
        <v>5</v>
      </c>
      <c r="E2384" s="367" t="s">
        <v>6</v>
      </c>
      <c r="F2384" s="389" t="s">
        <v>3901</v>
      </c>
      <c r="G2384" s="385">
        <v>45846</v>
      </c>
      <c r="H2384" s="367" t="s">
        <v>11</v>
      </c>
      <c r="I2384" s="368" t="str">
        <f>VLOOKUP(H2384,'Source Codes'!A$2:B$115,2,FALSE)</f>
        <v>AR Payments</v>
      </c>
      <c r="J2384" s="422">
        <v>8273639.2300000004</v>
      </c>
      <c r="K2384" s="385">
        <v>45846</v>
      </c>
      <c r="L2384" s="369" t="s">
        <v>3904</v>
      </c>
      <c r="M2384" s="390">
        <v>45846.752268518518</v>
      </c>
      <c r="N2384" s="366" t="s">
        <v>356</v>
      </c>
      <c r="O2384" s="367" t="s">
        <v>362</v>
      </c>
      <c r="P2384" s="368" t="str">
        <f>IF(J2384&gt;0,"Revenue",IF(J2384&lt;0,"Expense"))</f>
        <v>Revenue</v>
      </c>
      <c r="Q2384" s="366" t="s">
        <v>2360</v>
      </c>
      <c r="R2384" s="366" t="s">
        <v>2715</v>
      </c>
      <c r="S2384" s="366" t="s">
        <v>2361</v>
      </c>
    </row>
    <row r="2385" spans="1:19" ht="30" hidden="1" outlineLevel="1">
      <c r="B2385" s="384">
        <v>2025</v>
      </c>
      <c r="C2385" s="384">
        <v>12</v>
      </c>
      <c r="D2385" s="367" t="s">
        <v>5</v>
      </c>
      <c r="E2385" s="367" t="s">
        <v>6</v>
      </c>
      <c r="F2385" s="389" t="s">
        <v>3905</v>
      </c>
      <c r="G2385" s="385">
        <v>45838</v>
      </c>
      <c r="H2385" s="367" t="s">
        <v>9</v>
      </c>
      <c r="I2385" s="368" t="str">
        <f>VLOOKUP(H2385,'Source Codes'!A$2:B$115,2,FALSE)</f>
        <v>On Line Journal Entries</v>
      </c>
      <c r="J2385" s="422">
        <v>13299355</v>
      </c>
      <c r="K2385" s="385">
        <v>45846</v>
      </c>
      <c r="L2385" s="369" t="s">
        <v>344</v>
      </c>
      <c r="M2385" s="390">
        <v>45846.871886574074</v>
      </c>
      <c r="N2385" s="366" t="s">
        <v>356</v>
      </c>
      <c r="O2385" s="367" t="s">
        <v>364</v>
      </c>
      <c r="P2385" s="368" t="str">
        <f>IF(J2385&gt;0,"Revenue",IF(J2385&lt;0,"Expense"))</f>
        <v>Revenue</v>
      </c>
      <c r="Q2385" s="366" t="s">
        <v>2232</v>
      </c>
      <c r="R2385" s="366" t="s">
        <v>2232</v>
      </c>
      <c r="S2385" s="366" t="s">
        <v>3907</v>
      </c>
    </row>
    <row r="2386" spans="1:19" ht="30" hidden="1" outlineLevel="1">
      <c r="B2386" s="384">
        <v>2025</v>
      </c>
      <c r="C2386" s="384">
        <v>12</v>
      </c>
      <c r="D2386" s="367" t="s">
        <v>5</v>
      </c>
      <c r="E2386" s="367" t="s">
        <v>6</v>
      </c>
      <c r="F2386" s="389" t="s">
        <v>3906</v>
      </c>
      <c r="G2386" s="385">
        <v>45838</v>
      </c>
      <c r="H2386" s="367" t="s">
        <v>9</v>
      </c>
      <c r="I2386" s="368" t="str">
        <f>VLOOKUP(H2386,'Source Codes'!A$2:B$115,2,FALSE)</f>
        <v>On Line Journal Entries</v>
      </c>
      <c r="J2386" s="422">
        <v>3014140</v>
      </c>
      <c r="K2386" s="385">
        <v>45846</v>
      </c>
      <c r="L2386" s="369" t="s">
        <v>344</v>
      </c>
      <c r="M2386" s="390">
        <v>45846.871886574074</v>
      </c>
      <c r="N2386" s="366" t="s">
        <v>356</v>
      </c>
      <c r="O2386" s="367" t="s">
        <v>364</v>
      </c>
      <c r="P2386" s="368" t="str">
        <f>IF(J2386&gt;0,"Revenue",IF(J2386&lt;0,"Expense"))</f>
        <v>Revenue</v>
      </c>
      <c r="Q2386" s="366" t="s">
        <v>2232</v>
      </c>
      <c r="R2386" s="366" t="s">
        <v>2232</v>
      </c>
      <c r="S2386" s="366" t="s">
        <v>2533</v>
      </c>
    </row>
    <row r="2387" spans="1:19" ht="12.75" customHeight="1" collapsed="1">
      <c r="I2387" s="368"/>
      <c r="J2387" s="413">
        <f>SUM(J2382:J2386)</f>
        <v>27734857.490000002</v>
      </c>
      <c r="P2387" s="368"/>
    </row>
    <row r="2388" spans="1:19" ht="12.75" customHeight="1">
      <c r="I2388" s="368"/>
      <c r="P2388" s="368"/>
    </row>
    <row r="2389" spans="1:19" ht="12.75" customHeight="1">
      <c r="A2389" s="378" t="s">
        <v>3914</v>
      </c>
      <c r="I2389" s="368"/>
      <c r="P2389" s="368"/>
    </row>
    <row r="2390" spans="1:19" ht="30" hidden="1" outlineLevel="1">
      <c r="B2390" s="384">
        <v>2025</v>
      </c>
      <c r="C2390" s="384">
        <v>12</v>
      </c>
      <c r="D2390" s="367" t="s">
        <v>5</v>
      </c>
      <c r="E2390" s="367" t="s">
        <v>6</v>
      </c>
      <c r="F2390" s="389" t="s">
        <v>3908</v>
      </c>
      <c r="G2390" s="385">
        <v>45838</v>
      </c>
      <c r="H2390" s="367" t="s">
        <v>9</v>
      </c>
      <c r="I2390" s="368" t="str">
        <f>VLOOKUP(H2390,'Source Codes'!A$2:B$115,2,FALSE)</f>
        <v>On Line Journal Entries</v>
      </c>
      <c r="J2390" s="422">
        <v>7877341.3399999999</v>
      </c>
      <c r="K2390" s="385">
        <v>45847</v>
      </c>
      <c r="L2390" s="369" t="s">
        <v>344</v>
      </c>
      <c r="M2390" s="390">
        <v>45847.871562499997</v>
      </c>
      <c r="N2390" s="366" t="s">
        <v>356</v>
      </c>
      <c r="O2390" s="367" t="s">
        <v>364</v>
      </c>
      <c r="P2390" s="368" t="str">
        <f>IF(J2390&gt;0,"Revenue",IF(J2390&lt;0,"Expense"))</f>
        <v>Revenue</v>
      </c>
      <c r="Q2390" s="366" t="s">
        <v>2232</v>
      </c>
      <c r="R2390" s="366" t="s">
        <v>2232</v>
      </c>
      <c r="S2390" s="366" t="s">
        <v>2533</v>
      </c>
    </row>
    <row r="2391" spans="1:19" ht="30" hidden="1" outlineLevel="1">
      <c r="B2391" s="384">
        <v>2025</v>
      </c>
      <c r="C2391" s="384">
        <v>12</v>
      </c>
      <c r="D2391" s="367" t="s">
        <v>5</v>
      </c>
      <c r="E2391" s="367" t="s">
        <v>6</v>
      </c>
      <c r="F2391" s="389" t="s">
        <v>3909</v>
      </c>
      <c r="G2391" s="385">
        <v>45838</v>
      </c>
      <c r="H2391" s="367" t="s">
        <v>9</v>
      </c>
      <c r="I2391" s="368" t="str">
        <f>VLOOKUP(H2391,'Source Codes'!A$2:B$115,2,FALSE)</f>
        <v>On Line Journal Entries</v>
      </c>
      <c r="J2391" s="422">
        <v>2081836</v>
      </c>
      <c r="K2391" s="385">
        <v>45847</v>
      </c>
      <c r="L2391" s="369" t="s">
        <v>344</v>
      </c>
      <c r="M2391" s="390">
        <v>45847.871562499997</v>
      </c>
      <c r="N2391" s="366" t="s">
        <v>356</v>
      </c>
      <c r="O2391" s="367" t="s">
        <v>364</v>
      </c>
      <c r="P2391" s="368" t="str">
        <f>IF(J2391&gt;0,"Revenue",IF(J2391&lt;0,"Expense"))</f>
        <v>Revenue</v>
      </c>
      <c r="Q2391" s="366" t="s">
        <v>2232</v>
      </c>
      <c r="R2391" s="366" t="s">
        <v>2232</v>
      </c>
      <c r="S2391" s="366" t="s">
        <v>3913</v>
      </c>
    </row>
    <row r="2392" spans="1:19" ht="15" hidden="1" outlineLevel="1">
      <c r="B2392" s="384">
        <v>2025</v>
      </c>
      <c r="C2392" s="384">
        <v>12</v>
      </c>
      <c r="D2392" s="367" t="s">
        <v>5</v>
      </c>
      <c r="E2392" s="367" t="s">
        <v>6</v>
      </c>
      <c r="F2392" s="389" t="s">
        <v>3910</v>
      </c>
      <c r="G2392" s="385">
        <v>45838</v>
      </c>
      <c r="H2392" s="367" t="s">
        <v>8</v>
      </c>
      <c r="I2392" s="368" t="str">
        <f>VLOOKUP(H2392,'Source Codes'!A$2:B$115,2,FALSE)</f>
        <v>Prch,Cntrl Mail,Flt,Prntg,Sply</v>
      </c>
      <c r="J2392" s="422">
        <v>-1935941.56</v>
      </c>
      <c r="K2392" s="385">
        <v>45847</v>
      </c>
      <c r="L2392" s="369" t="s">
        <v>3911</v>
      </c>
      <c r="M2392" s="390">
        <v>45847.575590277775</v>
      </c>
      <c r="N2392" s="366" t="s">
        <v>356</v>
      </c>
      <c r="O2392" s="367" t="s">
        <v>382</v>
      </c>
      <c r="P2392" s="368" t="str">
        <f>IF(J2392&gt;0,"Revenue",IF(J2392&lt;0,"Expense"))</f>
        <v>Expense</v>
      </c>
      <c r="Q2392" s="366" t="s">
        <v>2328</v>
      </c>
      <c r="R2392" s="366" t="s">
        <v>3912</v>
      </c>
      <c r="S2392" s="366" t="s">
        <v>2535</v>
      </c>
    </row>
    <row r="2393" spans="1:19" ht="12.75" customHeight="1" collapsed="1">
      <c r="I2393" s="368"/>
      <c r="J2393" s="413">
        <f>SUM(J2390:J2392)</f>
        <v>8023235.7799999993</v>
      </c>
      <c r="P2393" s="368"/>
    </row>
    <row r="2394" spans="1:19" ht="12.75" customHeight="1">
      <c r="I2394" s="368"/>
      <c r="P2394" s="368"/>
    </row>
    <row r="2395" spans="1:19" ht="12.75" customHeight="1">
      <c r="A2395" s="378" t="s">
        <v>3915</v>
      </c>
      <c r="I2395" s="368"/>
      <c r="P2395" s="368"/>
    </row>
    <row r="2396" spans="1:19" ht="45" hidden="1" outlineLevel="1">
      <c r="B2396" s="384">
        <v>2026</v>
      </c>
      <c r="C2396" s="384">
        <v>1</v>
      </c>
      <c r="D2396" s="367" t="s">
        <v>5</v>
      </c>
      <c r="E2396" s="367" t="s">
        <v>6</v>
      </c>
      <c r="F2396" s="389" t="s">
        <v>3916</v>
      </c>
      <c r="G2396" s="385">
        <v>45845</v>
      </c>
      <c r="H2396" s="367" t="s">
        <v>11</v>
      </c>
      <c r="I2396" s="368" t="str">
        <f>VLOOKUP(H2396,'Source Codes'!A$2:B$115,2,FALSE)</f>
        <v>AR Payments</v>
      </c>
      <c r="J2396" s="422">
        <v>1197330.4099999999</v>
      </c>
      <c r="K2396" s="385">
        <v>45848</v>
      </c>
      <c r="L2396" s="369" t="s">
        <v>3917</v>
      </c>
      <c r="M2396" s="390">
        <v>45848.752268518518</v>
      </c>
      <c r="N2396" s="366" t="s">
        <v>356</v>
      </c>
      <c r="O2396" s="367" t="s">
        <v>357</v>
      </c>
      <c r="P2396" s="368" t="str">
        <f t="shared" ref="P2396:P2401" si="39">IF(J2396&gt;0,"Revenue",IF(J2396&lt;0,"Expense"))</f>
        <v>Revenue</v>
      </c>
      <c r="Q2396" s="366" t="s">
        <v>2157</v>
      </c>
      <c r="R2396" s="366" t="s">
        <v>2857</v>
      </c>
      <c r="S2396" s="366" t="s">
        <v>2278</v>
      </c>
    </row>
    <row r="2397" spans="1:19" ht="105" hidden="1" outlineLevel="1">
      <c r="B2397" s="384">
        <v>2026</v>
      </c>
      <c r="C2397" s="384">
        <v>1</v>
      </c>
      <c r="D2397" s="367" t="s">
        <v>5</v>
      </c>
      <c r="E2397" s="367" t="s">
        <v>6</v>
      </c>
      <c r="F2397" s="389" t="s">
        <v>3918</v>
      </c>
      <c r="G2397" s="385">
        <v>45847</v>
      </c>
      <c r="H2397" s="367" t="s">
        <v>11</v>
      </c>
      <c r="I2397" s="368" t="str">
        <f>VLOOKUP(H2397,'Source Codes'!A$2:B$115,2,FALSE)</f>
        <v>AR Payments</v>
      </c>
      <c r="J2397" s="422">
        <v>3630764.63</v>
      </c>
      <c r="K2397" s="385">
        <v>45848</v>
      </c>
      <c r="L2397" s="369" t="s">
        <v>3919</v>
      </c>
      <c r="M2397" s="390">
        <v>45848.752268518518</v>
      </c>
      <c r="N2397" s="366" t="s">
        <v>356</v>
      </c>
      <c r="O2397" s="367" t="s">
        <v>357</v>
      </c>
      <c r="P2397" s="368" t="str">
        <f t="shared" si="39"/>
        <v>Revenue</v>
      </c>
      <c r="Q2397" s="366" t="s">
        <v>2157</v>
      </c>
      <c r="R2397" s="366" t="s">
        <v>2857</v>
      </c>
      <c r="S2397" s="366" t="s">
        <v>3863</v>
      </c>
    </row>
    <row r="2398" spans="1:19" ht="15" hidden="1" outlineLevel="1">
      <c r="B2398" s="384">
        <v>2026</v>
      </c>
      <c r="C2398" s="384">
        <v>1</v>
      </c>
      <c r="D2398" s="367" t="s">
        <v>5</v>
      </c>
      <c r="E2398" s="367" t="s">
        <v>6</v>
      </c>
      <c r="F2398" s="389" t="s">
        <v>3920</v>
      </c>
      <c r="G2398" s="385">
        <v>45847</v>
      </c>
      <c r="H2398" s="367" t="s">
        <v>7</v>
      </c>
      <c r="I2398" s="368" t="str">
        <f>VLOOKUP(H2398,'Source Codes'!A$2:B$115,2,FALSE)</f>
        <v>HRMS Interface Journals</v>
      </c>
      <c r="J2398" s="422">
        <v>-2561209.61</v>
      </c>
      <c r="K2398" s="385">
        <v>45848</v>
      </c>
      <c r="L2398" s="369" t="s">
        <v>409</v>
      </c>
      <c r="M2398" s="390">
        <v>45848.551944444444</v>
      </c>
      <c r="N2398" s="366" t="s">
        <v>378</v>
      </c>
      <c r="O2398" s="367" t="s">
        <v>379</v>
      </c>
      <c r="P2398" s="368" t="str">
        <f t="shared" si="39"/>
        <v>Expense</v>
      </c>
      <c r="Q2398" s="366" t="s">
        <v>379</v>
      </c>
      <c r="R2398" s="366" t="s">
        <v>3925</v>
      </c>
      <c r="S2398" s="366">
        <v>202100</v>
      </c>
    </row>
    <row r="2399" spans="1:19" ht="30" hidden="1" outlineLevel="1">
      <c r="B2399" s="384">
        <v>2026</v>
      </c>
      <c r="C2399" s="384">
        <v>1</v>
      </c>
      <c r="D2399" s="367" t="s">
        <v>5</v>
      </c>
      <c r="E2399" s="367" t="s">
        <v>6</v>
      </c>
      <c r="F2399" s="389" t="s">
        <v>3921</v>
      </c>
      <c r="G2399" s="385">
        <v>45839</v>
      </c>
      <c r="H2399" s="367" t="s">
        <v>9</v>
      </c>
      <c r="I2399" s="368" t="str">
        <f>VLOOKUP(H2399,'Source Codes'!A$2:B$115,2,FALSE)</f>
        <v>On Line Journal Entries</v>
      </c>
      <c r="J2399" s="422">
        <v>-5537987</v>
      </c>
      <c r="K2399" s="385">
        <v>45848</v>
      </c>
      <c r="L2399" s="369" t="s">
        <v>3924</v>
      </c>
      <c r="M2399" s="390">
        <v>45848.87054398148</v>
      </c>
      <c r="N2399" s="366" t="s">
        <v>356</v>
      </c>
      <c r="O2399" s="367" t="s">
        <v>374</v>
      </c>
      <c r="P2399" s="368" t="str">
        <f t="shared" si="39"/>
        <v>Expense</v>
      </c>
      <c r="Q2399" s="366" t="s">
        <v>2202</v>
      </c>
      <c r="R2399" s="366" t="s">
        <v>3926</v>
      </c>
      <c r="S2399" s="366">
        <v>525840</v>
      </c>
    </row>
    <row r="2400" spans="1:19" ht="15" hidden="1" outlineLevel="1">
      <c r="B2400" s="384">
        <v>2026</v>
      </c>
      <c r="C2400" s="384">
        <v>1</v>
      </c>
      <c r="D2400" s="367" t="s">
        <v>5</v>
      </c>
      <c r="E2400" s="367" t="s">
        <v>6</v>
      </c>
      <c r="F2400" s="389" t="s">
        <v>3922</v>
      </c>
      <c r="G2400" s="385">
        <v>45847</v>
      </c>
      <c r="H2400" s="367" t="s">
        <v>7</v>
      </c>
      <c r="I2400" s="368" t="str">
        <f>VLOOKUP(H2400,'Source Codes'!A$2:B$115,2,FALSE)</f>
        <v>HRMS Interface Journals</v>
      </c>
      <c r="J2400" s="422">
        <v>-13958343.74</v>
      </c>
      <c r="K2400" s="385">
        <v>45848</v>
      </c>
      <c r="L2400" s="369" t="s">
        <v>407</v>
      </c>
      <c r="M2400" s="390">
        <v>45848.547500000001</v>
      </c>
      <c r="N2400" s="366" t="s">
        <v>378</v>
      </c>
      <c r="O2400" s="367" t="s">
        <v>379</v>
      </c>
      <c r="P2400" s="368" t="str">
        <f t="shared" si="39"/>
        <v>Expense</v>
      </c>
      <c r="Q2400" s="366" t="s">
        <v>379</v>
      </c>
      <c r="R2400" s="366" t="s">
        <v>3925</v>
      </c>
      <c r="S2400" s="366" t="s">
        <v>3927</v>
      </c>
    </row>
    <row r="2401" spans="1:19" ht="15" hidden="1" outlineLevel="1">
      <c r="B2401" s="384">
        <v>2026</v>
      </c>
      <c r="C2401" s="384">
        <v>1</v>
      </c>
      <c r="D2401" s="367" t="s">
        <v>5</v>
      </c>
      <c r="E2401" s="367" t="s">
        <v>6</v>
      </c>
      <c r="F2401" s="389" t="s">
        <v>3923</v>
      </c>
      <c r="G2401" s="385">
        <v>45847</v>
      </c>
      <c r="H2401" s="367" t="s">
        <v>7</v>
      </c>
      <c r="I2401" s="368" t="str">
        <f>VLOOKUP(H2401,'Source Codes'!A$2:B$115,2,FALSE)</f>
        <v>HRMS Interface Journals</v>
      </c>
      <c r="J2401" s="422">
        <v>-72012411.060000002</v>
      </c>
      <c r="K2401" s="385">
        <v>45848</v>
      </c>
      <c r="L2401" s="369" t="s">
        <v>406</v>
      </c>
      <c r="M2401" s="390">
        <v>45848.550023148149</v>
      </c>
      <c r="N2401" s="366" t="s">
        <v>378</v>
      </c>
      <c r="O2401" s="367" t="s">
        <v>371</v>
      </c>
      <c r="P2401" s="368" t="str">
        <f t="shared" si="39"/>
        <v>Expense</v>
      </c>
      <c r="Q2401" s="366" t="s">
        <v>379</v>
      </c>
      <c r="R2401" s="366" t="s">
        <v>3925</v>
      </c>
      <c r="S2401" s="366" t="s">
        <v>3927</v>
      </c>
    </row>
    <row r="2402" spans="1:19" ht="12.75" customHeight="1" collapsed="1">
      <c r="J2402" s="413">
        <f>SUM(J2396:J2401)</f>
        <v>-89241856.370000005</v>
      </c>
    </row>
    <row r="2404" spans="1:19" ht="12.75" customHeight="1">
      <c r="A2404" s="378" t="s">
        <v>3928</v>
      </c>
    </row>
    <row r="2405" spans="1:19" ht="45" hidden="1" outlineLevel="1">
      <c r="B2405" s="384">
        <v>2026</v>
      </c>
      <c r="C2405" s="384">
        <v>1</v>
      </c>
      <c r="D2405" s="367" t="s">
        <v>5</v>
      </c>
      <c r="E2405" s="367" t="s">
        <v>6</v>
      </c>
      <c r="F2405" s="389" t="s">
        <v>3929</v>
      </c>
      <c r="G2405" s="385">
        <v>45848</v>
      </c>
      <c r="H2405" s="367" t="s">
        <v>11</v>
      </c>
      <c r="I2405" s="368" t="str">
        <f>VLOOKUP(H2405,'Source Codes'!A$2:B$115,2,FALSE)</f>
        <v>AR Payments</v>
      </c>
      <c r="J2405" s="422">
        <v>1276272.1200000001</v>
      </c>
      <c r="K2405" s="385">
        <v>45849</v>
      </c>
      <c r="L2405" s="369" t="s">
        <v>3930</v>
      </c>
      <c r="M2405" s="390">
        <v>45849.751909722225</v>
      </c>
      <c r="N2405" s="366" t="s">
        <v>356</v>
      </c>
      <c r="O2405" s="367" t="s">
        <v>357</v>
      </c>
      <c r="P2405" s="368" t="s">
        <v>2290</v>
      </c>
      <c r="Q2405" s="366" t="s">
        <v>2157</v>
      </c>
      <c r="R2405" s="366" t="s">
        <v>2857</v>
      </c>
      <c r="S2405" s="366">
        <v>118501</v>
      </c>
    </row>
    <row r="2406" spans="1:19" ht="12.75" customHeight="1" collapsed="1">
      <c r="J2406" s="413">
        <f>SUM(J2405)</f>
        <v>1276272.1200000001</v>
      </c>
    </row>
    <row r="2408" spans="1:19" ht="12.75" customHeight="1">
      <c r="A2408" s="378" t="s">
        <v>3931</v>
      </c>
    </row>
    <row r="2409" spans="1:19" ht="45" hidden="1" outlineLevel="1">
      <c r="B2409" s="384">
        <v>2026</v>
      </c>
      <c r="C2409" s="384">
        <v>1</v>
      </c>
      <c r="D2409" s="367" t="s">
        <v>5</v>
      </c>
      <c r="E2409" s="367" t="s">
        <v>6</v>
      </c>
      <c r="F2409" s="389" t="s">
        <v>3932</v>
      </c>
      <c r="G2409" s="385">
        <v>45848</v>
      </c>
      <c r="H2409" s="367" t="s">
        <v>11</v>
      </c>
      <c r="I2409" s="368" t="str">
        <f>VLOOKUP(H2409,'Source Codes'!A$2:B$115,2,FALSE)</f>
        <v>AR Payments</v>
      </c>
      <c r="J2409" s="422">
        <v>1021497.03</v>
      </c>
      <c r="K2409" s="385">
        <v>45852</v>
      </c>
      <c r="L2409" s="369" t="s">
        <v>3949</v>
      </c>
      <c r="M2409" s="390">
        <v>45852.752164351848</v>
      </c>
      <c r="N2409" s="366" t="s">
        <v>356</v>
      </c>
      <c r="O2409" s="367" t="s">
        <v>357</v>
      </c>
      <c r="P2409" s="368" t="s">
        <v>2290</v>
      </c>
      <c r="Q2409" s="366" t="s">
        <v>2157</v>
      </c>
      <c r="R2409" s="366" t="s">
        <v>2857</v>
      </c>
      <c r="S2409" s="366" t="s">
        <v>2531</v>
      </c>
    </row>
    <row r="2410" spans="1:19" ht="15" hidden="1" outlineLevel="1">
      <c r="B2410" s="384">
        <v>2026</v>
      </c>
      <c r="C2410" s="384">
        <v>1</v>
      </c>
      <c r="D2410" s="367" t="s">
        <v>5</v>
      </c>
      <c r="E2410" s="367" t="s">
        <v>6</v>
      </c>
      <c r="F2410" s="389" t="s">
        <v>3933</v>
      </c>
      <c r="G2410" s="385">
        <v>45839</v>
      </c>
      <c r="H2410" s="367" t="s">
        <v>12</v>
      </c>
      <c r="I2410" s="368" t="str">
        <f>VLOOKUP(H2410,'Source Codes'!A$2:B$115,2,FALSE)</f>
        <v>AR Direct Cash Journal</v>
      </c>
      <c r="J2410" s="422">
        <v>1209182.6100000001</v>
      </c>
      <c r="K2410" s="385">
        <v>45852</v>
      </c>
      <c r="L2410" s="369" t="s">
        <v>3943</v>
      </c>
      <c r="M2410" s="390">
        <v>45852.752164351848</v>
      </c>
      <c r="N2410" s="368" t="s">
        <v>356</v>
      </c>
      <c r="O2410" s="368" t="s">
        <v>368</v>
      </c>
      <c r="P2410" s="368" t="str">
        <f>IF(J2410&gt;0,"Revenue",IF(J2410&lt;0,"Expense"))</f>
        <v>Revenue</v>
      </c>
      <c r="Q2410" s="366" t="s">
        <v>2177</v>
      </c>
      <c r="R2410" s="365" t="s">
        <v>3123</v>
      </c>
      <c r="S2410" s="366">
        <v>767200</v>
      </c>
    </row>
    <row r="2411" spans="1:19" ht="30" hidden="1" outlineLevel="1">
      <c r="B2411" s="384">
        <v>2026</v>
      </c>
      <c r="C2411" s="384">
        <v>1</v>
      </c>
      <c r="D2411" s="367" t="s">
        <v>5</v>
      </c>
      <c r="E2411" s="367" t="s">
        <v>6</v>
      </c>
      <c r="F2411" s="389" t="s">
        <v>3934</v>
      </c>
      <c r="G2411" s="385">
        <v>45852</v>
      </c>
      <c r="H2411" s="367" t="s">
        <v>12</v>
      </c>
      <c r="I2411" s="368" t="str">
        <f>VLOOKUP(H2411,'Source Codes'!A$2:B$115,2,FALSE)</f>
        <v>AR Direct Cash Journal</v>
      </c>
      <c r="J2411" s="422">
        <v>1556639.47</v>
      </c>
      <c r="K2411" s="385">
        <v>45852</v>
      </c>
      <c r="L2411" s="369" t="s">
        <v>3944</v>
      </c>
      <c r="M2411" s="390">
        <v>45852.752164351848</v>
      </c>
      <c r="N2411" s="366" t="s">
        <v>356</v>
      </c>
      <c r="O2411" s="367" t="s">
        <v>370</v>
      </c>
      <c r="P2411" s="368" t="s">
        <v>2290</v>
      </c>
      <c r="Q2411" s="366" t="s">
        <v>2264</v>
      </c>
      <c r="R2411" s="366" t="s">
        <v>2265</v>
      </c>
      <c r="S2411" s="366">
        <v>779060</v>
      </c>
    </row>
    <row r="2412" spans="1:19" ht="15" hidden="1" outlineLevel="1">
      <c r="B2412" s="384">
        <v>2026</v>
      </c>
      <c r="C2412" s="384">
        <v>1</v>
      </c>
      <c r="D2412" s="367" t="s">
        <v>5</v>
      </c>
      <c r="E2412" s="367" t="s">
        <v>6</v>
      </c>
      <c r="F2412" s="389" t="s">
        <v>3935</v>
      </c>
      <c r="G2412" s="385">
        <v>45841</v>
      </c>
      <c r="H2412" s="367" t="s">
        <v>12</v>
      </c>
      <c r="I2412" s="368" t="str">
        <f>VLOOKUP(H2412,'Source Codes'!A$2:B$115,2,FALSE)</f>
        <v>AR Direct Cash Journal</v>
      </c>
      <c r="J2412" s="422">
        <v>3717184.25</v>
      </c>
      <c r="K2412" s="385">
        <v>45852</v>
      </c>
      <c r="L2412" s="369" t="s">
        <v>3945</v>
      </c>
      <c r="M2412" s="390">
        <v>45852.752164351848</v>
      </c>
      <c r="N2412" s="368" t="s">
        <v>356</v>
      </c>
      <c r="O2412" s="368" t="s">
        <v>368</v>
      </c>
      <c r="P2412" s="368" t="str">
        <f>IF(J2412&gt;0,"Revenue",IF(J2412&lt;0,"Expense"))</f>
        <v>Revenue</v>
      </c>
      <c r="Q2412" s="366" t="s">
        <v>2177</v>
      </c>
      <c r="R2412" s="365" t="s">
        <v>3123</v>
      </c>
      <c r="S2412" s="366" t="s">
        <v>3946</v>
      </c>
    </row>
    <row r="2413" spans="1:19" ht="45" hidden="1" outlineLevel="1">
      <c r="B2413" s="384">
        <v>2025</v>
      </c>
      <c r="C2413" s="384">
        <v>12</v>
      </c>
      <c r="D2413" s="367" t="s">
        <v>5</v>
      </c>
      <c r="E2413" s="367" t="s">
        <v>6</v>
      </c>
      <c r="F2413" s="389" t="s">
        <v>3936</v>
      </c>
      <c r="G2413" s="385">
        <v>45838</v>
      </c>
      <c r="H2413" s="367" t="s">
        <v>9</v>
      </c>
      <c r="I2413" s="368" t="str">
        <f>VLOOKUP(H2413,'Source Codes'!A$2:B$115,2,FALSE)</f>
        <v>On Line Journal Entries</v>
      </c>
      <c r="J2413" s="422">
        <v>5902848</v>
      </c>
      <c r="K2413" s="385">
        <v>45852</v>
      </c>
      <c r="L2413" s="369" t="s">
        <v>352</v>
      </c>
      <c r="M2413" s="390">
        <v>45852.508472222224</v>
      </c>
      <c r="N2413" s="366" t="s">
        <v>356</v>
      </c>
      <c r="O2413" s="367" t="s">
        <v>364</v>
      </c>
      <c r="P2413" s="368" t="s">
        <v>2290</v>
      </c>
      <c r="Q2413" s="366" t="s">
        <v>2232</v>
      </c>
      <c r="R2413" s="366" t="s">
        <v>2232</v>
      </c>
      <c r="S2413" s="366" t="s">
        <v>2789</v>
      </c>
    </row>
    <row r="2414" spans="1:19" ht="30" hidden="1" outlineLevel="1">
      <c r="B2414" s="384">
        <v>2025</v>
      </c>
      <c r="C2414" s="384">
        <v>12</v>
      </c>
      <c r="D2414" s="367" t="s">
        <v>5</v>
      </c>
      <c r="E2414" s="367" t="s">
        <v>6</v>
      </c>
      <c r="F2414" s="389" t="s">
        <v>3937</v>
      </c>
      <c r="G2414" s="385">
        <v>45838</v>
      </c>
      <c r="H2414" s="367" t="s">
        <v>9</v>
      </c>
      <c r="I2414" s="368" t="str">
        <f>VLOOKUP(H2414,'Source Codes'!A$2:B$115,2,FALSE)</f>
        <v>On Line Journal Entries</v>
      </c>
      <c r="J2414" s="422">
        <v>5336493</v>
      </c>
      <c r="K2414" s="385">
        <v>45852</v>
      </c>
      <c r="L2414" s="369" t="s">
        <v>334</v>
      </c>
      <c r="M2414" s="390">
        <v>45852.507916666669</v>
      </c>
      <c r="N2414" s="366" t="s">
        <v>356</v>
      </c>
      <c r="O2414" s="367" t="s">
        <v>364</v>
      </c>
      <c r="P2414" s="368" t="s">
        <v>2290</v>
      </c>
      <c r="Q2414" s="366" t="s">
        <v>2232</v>
      </c>
      <c r="R2414" s="366" t="s">
        <v>2232</v>
      </c>
      <c r="S2414" s="366">
        <v>750741</v>
      </c>
    </row>
    <row r="2415" spans="1:19" ht="45" hidden="1" outlineLevel="1">
      <c r="B2415" s="384">
        <v>2025</v>
      </c>
      <c r="C2415" s="384">
        <v>12</v>
      </c>
      <c r="D2415" s="367" t="s">
        <v>5</v>
      </c>
      <c r="E2415" s="367" t="s">
        <v>6</v>
      </c>
      <c r="F2415" s="389" t="s">
        <v>3938</v>
      </c>
      <c r="G2415" s="385">
        <v>45838</v>
      </c>
      <c r="H2415" s="367" t="s">
        <v>9</v>
      </c>
      <c r="I2415" s="368" t="str">
        <f>VLOOKUP(H2415,'Source Codes'!A$2:B$115,2,FALSE)</f>
        <v>On Line Journal Entries</v>
      </c>
      <c r="J2415" s="422">
        <v>4095962</v>
      </c>
      <c r="K2415" s="385">
        <v>45852</v>
      </c>
      <c r="L2415" s="369" t="s">
        <v>343</v>
      </c>
      <c r="M2415" s="390">
        <v>45852.509097222224</v>
      </c>
      <c r="N2415" s="366" t="s">
        <v>361</v>
      </c>
      <c r="O2415" s="368" t="s">
        <v>364</v>
      </c>
      <c r="P2415" s="368" t="s">
        <v>2290</v>
      </c>
      <c r="Q2415" s="366" t="s">
        <v>2232</v>
      </c>
      <c r="R2415" s="366" t="s">
        <v>2232</v>
      </c>
      <c r="S2415" s="366" t="s">
        <v>3018</v>
      </c>
    </row>
    <row r="2416" spans="1:19" ht="60" hidden="1" outlineLevel="1">
      <c r="B2416" s="384">
        <v>2025</v>
      </c>
      <c r="C2416" s="384">
        <v>12</v>
      </c>
      <c r="D2416" s="367" t="s">
        <v>5</v>
      </c>
      <c r="E2416" s="367" t="s">
        <v>6</v>
      </c>
      <c r="F2416" s="389" t="s">
        <v>3939</v>
      </c>
      <c r="G2416" s="385">
        <v>45838</v>
      </c>
      <c r="H2416" s="367" t="s">
        <v>9</v>
      </c>
      <c r="I2416" s="368" t="str">
        <f>VLOOKUP(H2416,'Source Codes'!A$2:B$115,2,FALSE)</f>
        <v>On Line Journal Entries</v>
      </c>
      <c r="J2416" s="422">
        <v>2918415.01</v>
      </c>
      <c r="K2416" s="385">
        <v>45852</v>
      </c>
      <c r="L2416" s="369" t="s">
        <v>347</v>
      </c>
      <c r="M2416" s="390">
        <v>45852.507395833331</v>
      </c>
      <c r="N2416" s="368" t="s">
        <v>356</v>
      </c>
      <c r="O2416" s="368" t="s">
        <v>364</v>
      </c>
      <c r="P2416" s="368" t="s">
        <v>2290</v>
      </c>
      <c r="Q2416" s="366" t="s">
        <v>2232</v>
      </c>
      <c r="R2416" s="366" t="s">
        <v>2232</v>
      </c>
      <c r="S2416" s="366">
        <v>755924</v>
      </c>
    </row>
    <row r="2417" spans="1:19" ht="30" hidden="1" outlineLevel="1">
      <c r="B2417" s="384">
        <v>2025</v>
      </c>
      <c r="C2417" s="384">
        <v>12</v>
      </c>
      <c r="D2417" s="367" t="s">
        <v>5</v>
      </c>
      <c r="E2417" s="367" t="s">
        <v>6</v>
      </c>
      <c r="F2417" s="389" t="s">
        <v>3940</v>
      </c>
      <c r="G2417" s="385">
        <v>45838</v>
      </c>
      <c r="H2417" s="367" t="s">
        <v>9</v>
      </c>
      <c r="I2417" s="368" t="str">
        <f>VLOOKUP(H2417,'Source Codes'!A$2:B$115,2,FALSE)</f>
        <v>On Line Journal Entries</v>
      </c>
      <c r="J2417" s="422">
        <v>1456195</v>
      </c>
      <c r="K2417" s="385">
        <v>45852</v>
      </c>
      <c r="L2417" s="369" t="s">
        <v>3941</v>
      </c>
      <c r="M2417" s="390">
        <v>45852.506863425922</v>
      </c>
      <c r="N2417" s="368" t="s">
        <v>507</v>
      </c>
      <c r="O2417" s="368" t="s">
        <v>367</v>
      </c>
      <c r="P2417" s="368" t="str">
        <f>IF(J2417&gt;0,"Revenue",IF(J2417&lt;0,"Expense"))</f>
        <v>Revenue</v>
      </c>
      <c r="Q2417" s="366" t="s">
        <v>3947</v>
      </c>
      <c r="R2417" s="366" t="s">
        <v>3948</v>
      </c>
      <c r="S2417" s="366">
        <v>777520</v>
      </c>
    </row>
    <row r="2418" spans="1:19" ht="45" hidden="1" outlineLevel="1">
      <c r="B2418" s="384">
        <v>2025</v>
      </c>
      <c r="C2418" s="384">
        <v>12</v>
      </c>
      <c r="D2418" s="367" t="s">
        <v>5</v>
      </c>
      <c r="E2418" s="367" t="s">
        <v>6</v>
      </c>
      <c r="F2418" s="389" t="s">
        <v>3942</v>
      </c>
      <c r="G2418" s="385">
        <v>45838</v>
      </c>
      <c r="H2418" s="367" t="s">
        <v>9</v>
      </c>
      <c r="I2418" s="368" t="str">
        <f>VLOOKUP(H2418,'Source Codes'!A$2:B$115,2,FALSE)</f>
        <v>On Line Journal Entries</v>
      </c>
      <c r="J2418" s="422">
        <v>-1390079</v>
      </c>
      <c r="K2418" s="385">
        <v>45852</v>
      </c>
      <c r="L2418" s="369" t="s">
        <v>3439</v>
      </c>
      <c r="M2418" s="390">
        <v>45852.870347222219</v>
      </c>
      <c r="N2418" s="366" t="s">
        <v>356</v>
      </c>
      <c r="O2418" s="367" t="s">
        <v>364</v>
      </c>
      <c r="P2418" s="368" t="s">
        <v>2613</v>
      </c>
      <c r="Q2418" s="366" t="s">
        <v>2232</v>
      </c>
      <c r="R2418" s="366" t="s">
        <v>3454</v>
      </c>
      <c r="S2418" s="366">
        <v>750740</v>
      </c>
    </row>
    <row r="2419" spans="1:19" ht="12.75" customHeight="1" collapsed="1">
      <c r="J2419" s="413">
        <f>SUM(J2409:J2418)</f>
        <v>25824337.369999997</v>
      </c>
    </row>
    <row r="2421" spans="1:19" ht="12.75" customHeight="1">
      <c r="A2421" s="378" t="s">
        <v>3952</v>
      </c>
    </row>
    <row r="2422" spans="1:19" ht="30" hidden="1" outlineLevel="1">
      <c r="B2422" s="384">
        <v>2026</v>
      </c>
      <c r="C2422" s="384">
        <v>1</v>
      </c>
      <c r="D2422" s="367" t="s">
        <v>5</v>
      </c>
      <c r="E2422" s="367" t="s">
        <v>6</v>
      </c>
      <c r="F2422" s="389" t="s">
        <v>3950</v>
      </c>
      <c r="G2422" s="385">
        <v>45847</v>
      </c>
      <c r="H2422" s="367" t="s">
        <v>9</v>
      </c>
      <c r="I2422" s="368" t="str">
        <f>VLOOKUP(H2422,'Source Codes'!A$2:B$115,2,FALSE)</f>
        <v>On Line Journal Entries</v>
      </c>
      <c r="J2422" s="422">
        <v>25849549</v>
      </c>
      <c r="K2422" s="385">
        <v>45853</v>
      </c>
      <c r="L2422" s="369" t="s">
        <v>10</v>
      </c>
      <c r="M2422" s="390">
        <v>45853.778136574074</v>
      </c>
      <c r="N2422" s="368" t="s">
        <v>359</v>
      </c>
      <c r="O2422" s="368" t="s">
        <v>364</v>
      </c>
      <c r="P2422" s="368" t="s">
        <v>2290</v>
      </c>
      <c r="Q2422" s="366" t="s">
        <v>2232</v>
      </c>
      <c r="R2422" s="366" t="s">
        <v>2232</v>
      </c>
      <c r="S2422" s="366" t="s">
        <v>3951</v>
      </c>
    </row>
    <row r="2423" spans="1:19" ht="12.75" customHeight="1" collapsed="1">
      <c r="J2423" s="413">
        <f>SUM(J2422)</f>
        <v>25849549</v>
      </c>
    </row>
    <row r="2425" spans="1:19" ht="12.75" customHeight="1">
      <c r="A2425" s="378" t="s">
        <v>3964</v>
      </c>
    </row>
    <row r="2426" spans="1:19" ht="45" hidden="1" outlineLevel="1">
      <c r="B2426" s="384">
        <v>2026</v>
      </c>
      <c r="C2426" s="384">
        <v>1</v>
      </c>
      <c r="D2426" s="367" t="s">
        <v>5</v>
      </c>
      <c r="E2426" s="367" t="s">
        <v>6</v>
      </c>
      <c r="F2426" s="389" t="s">
        <v>3953</v>
      </c>
      <c r="G2426" s="385">
        <v>45856</v>
      </c>
      <c r="H2426" s="367" t="s">
        <v>14</v>
      </c>
      <c r="I2426" s="368" t="str">
        <f>VLOOKUP(H2426,'Source Codes'!A$2:B$115,2,FALSE)</f>
        <v>AP Warrant Issuance</v>
      </c>
      <c r="J2426" s="422">
        <v>-5848132.9299999997</v>
      </c>
      <c r="K2426" s="385">
        <v>45854</v>
      </c>
      <c r="L2426" s="369" t="s">
        <v>3962</v>
      </c>
      <c r="M2426" s="390">
        <v>45854.758229166669</v>
      </c>
      <c r="N2426" s="366" t="s">
        <v>356</v>
      </c>
      <c r="O2426" s="367" t="s">
        <v>364</v>
      </c>
      <c r="P2426" s="368" t="s">
        <v>2613</v>
      </c>
      <c r="Q2426" s="366" t="s">
        <v>2254</v>
      </c>
      <c r="R2426" s="366">
        <v>45839</v>
      </c>
      <c r="S2426" s="366">
        <v>530440</v>
      </c>
    </row>
    <row r="2427" spans="1:19" ht="45" hidden="1" outlineLevel="1">
      <c r="B2427" s="384">
        <v>2026</v>
      </c>
      <c r="C2427" s="384">
        <v>1</v>
      </c>
      <c r="D2427" s="367" t="s">
        <v>5</v>
      </c>
      <c r="E2427" s="367" t="s">
        <v>6</v>
      </c>
      <c r="F2427" s="389" t="s">
        <v>3954</v>
      </c>
      <c r="G2427" s="385">
        <v>45854</v>
      </c>
      <c r="H2427" s="367" t="s">
        <v>14</v>
      </c>
      <c r="I2427" s="368" t="str">
        <f>VLOOKUP(H2427,'Source Codes'!A$2:B$115,2,FALSE)</f>
        <v>AP Warrant Issuance</v>
      </c>
      <c r="J2427" s="422">
        <v>-4049151.22</v>
      </c>
      <c r="K2427" s="385">
        <v>45854</v>
      </c>
      <c r="L2427" s="369" t="s">
        <v>3963</v>
      </c>
      <c r="M2427" s="390">
        <v>45854.758229166669</v>
      </c>
      <c r="N2427" s="366" t="s">
        <v>361</v>
      </c>
      <c r="O2427" s="367" t="s">
        <v>363</v>
      </c>
      <c r="P2427" s="368" t="s">
        <v>2613</v>
      </c>
      <c r="Q2427" s="366" t="s">
        <v>2446</v>
      </c>
      <c r="R2427" s="366" t="s">
        <v>3959</v>
      </c>
      <c r="S2427" s="366">
        <v>208100</v>
      </c>
    </row>
    <row r="2428" spans="1:19" ht="60" hidden="1" outlineLevel="1">
      <c r="B2428" s="384">
        <v>2026</v>
      </c>
      <c r="C2428" s="384">
        <v>1</v>
      </c>
      <c r="D2428" s="367" t="s">
        <v>5</v>
      </c>
      <c r="E2428" s="367" t="s">
        <v>6</v>
      </c>
      <c r="F2428" s="389" t="s">
        <v>3955</v>
      </c>
      <c r="G2428" s="385">
        <v>45854</v>
      </c>
      <c r="H2428" s="367" t="s">
        <v>14</v>
      </c>
      <c r="I2428" s="368" t="str">
        <f>VLOOKUP(H2428,'Source Codes'!A$2:B$115,2,FALSE)</f>
        <v>AP Warrant Issuance</v>
      </c>
      <c r="J2428" s="422">
        <v>-3474706.92</v>
      </c>
      <c r="K2428" s="385">
        <v>45854</v>
      </c>
      <c r="L2428" s="369" t="s">
        <v>3965</v>
      </c>
      <c r="M2428" s="390">
        <v>45854.758229166669</v>
      </c>
      <c r="N2428" s="366" t="s">
        <v>356</v>
      </c>
      <c r="O2428" s="367" t="s">
        <v>368</v>
      </c>
      <c r="P2428" s="368" t="s">
        <v>2613</v>
      </c>
      <c r="Q2428" s="366" t="s">
        <v>2154</v>
      </c>
      <c r="R2428" s="366" t="s">
        <v>2154</v>
      </c>
      <c r="S2428" s="366">
        <v>523640</v>
      </c>
    </row>
    <row r="2429" spans="1:19" ht="60" hidden="1" outlineLevel="1">
      <c r="B2429" s="384">
        <v>2026</v>
      </c>
      <c r="C2429" s="384">
        <v>1</v>
      </c>
      <c r="D2429" s="367" t="s">
        <v>5</v>
      </c>
      <c r="E2429" s="367" t="s">
        <v>6</v>
      </c>
      <c r="F2429" s="389" t="s">
        <v>3956</v>
      </c>
      <c r="G2429" s="385">
        <v>45854</v>
      </c>
      <c r="H2429" s="367" t="s">
        <v>14</v>
      </c>
      <c r="I2429" s="368" t="str">
        <f>VLOOKUP(H2429,'Source Codes'!A$2:B$115,2,FALSE)</f>
        <v>AP Warrant Issuance</v>
      </c>
      <c r="J2429" s="422">
        <v>-3077242.13</v>
      </c>
      <c r="K2429" s="385">
        <v>45854</v>
      </c>
      <c r="L2429" s="369" t="s">
        <v>3966</v>
      </c>
      <c r="M2429" s="390">
        <v>45854.758229166669</v>
      </c>
      <c r="N2429" s="366" t="s">
        <v>387</v>
      </c>
      <c r="O2429" s="367" t="s">
        <v>358</v>
      </c>
      <c r="P2429" s="368" t="str">
        <f>IF(J2429&gt;0,"Revenue",IF(J2429&lt;0,"Expense"))</f>
        <v>Expense</v>
      </c>
      <c r="Q2429" s="366" t="s">
        <v>3960</v>
      </c>
      <c r="R2429" s="366" t="s">
        <v>3960</v>
      </c>
      <c r="S2429" s="366">
        <v>523230</v>
      </c>
    </row>
    <row r="2430" spans="1:19" ht="60" hidden="1" outlineLevel="1">
      <c r="B2430" s="384">
        <v>2025</v>
      </c>
      <c r="C2430" s="384">
        <v>12</v>
      </c>
      <c r="D2430" s="367" t="s">
        <v>5</v>
      </c>
      <c r="E2430" s="367" t="s">
        <v>6</v>
      </c>
      <c r="F2430" s="389" t="s">
        <v>3957</v>
      </c>
      <c r="G2430" s="385">
        <v>45838</v>
      </c>
      <c r="H2430" s="367" t="s">
        <v>9</v>
      </c>
      <c r="I2430" s="368" t="str">
        <f>VLOOKUP(H2430,'Source Codes'!A$2:B$115,2,FALSE)</f>
        <v>On Line Journal Entries</v>
      </c>
      <c r="J2430" s="422">
        <v>3348859.09</v>
      </c>
      <c r="K2430" s="385">
        <v>45854</v>
      </c>
      <c r="L2430" s="369" t="s">
        <v>3958</v>
      </c>
      <c r="M2430" s="390">
        <v>45854.870821759258</v>
      </c>
      <c r="N2430" s="366" t="s">
        <v>356</v>
      </c>
      <c r="O2430" s="367" t="s">
        <v>371</v>
      </c>
      <c r="P2430" s="368" t="s">
        <v>2290</v>
      </c>
      <c r="Q2430" s="366" t="s">
        <v>3577</v>
      </c>
      <c r="R2430" s="366" t="s">
        <v>3961</v>
      </c>
      <c r="S2430" s="366">
        <v>750900</v>
      </c>
    </row>
    <row r="2431" spans="1:19" ht="12.75" customHeight="1" collapsed="1">
      <c r="J2431" s="413">
        <f>SUM(J2426:J2430)</f>
        <v>-13100374.109999999</v>
      </c>
    </row>
    <row r="2433" spans="1:19" ht="12.75" customHeight="1">
      <c r="A2433" s="378" t="s">
        <v>3967</v>
      </c>
    </row>
    <row r="2434" spans="1:19" ht="30" hidden="1" outlineLevel="1">
      <c r="B2434" s="384">
        <v>2026</v>
      </c>
      <c r="C2434" s="384">
        <v>1</v>
      </c>
      <c r="D2434" s="367" t="s">
        <v>5</v>
      </c>
      <c r="E2434" s="367" t="s">
        <v>6</v>
      </c>
      <c r="F2434" s="389" t="s">
        <v>3968</v>
      </c>
      <c r="G2434" s="385">
        <v>45859</v>
      </c>
      <c r="H2434" s="367" t="s">
        <v>14</v>
      </c>
      <c r="I2434" s="368" t="str">
        <f>VLOOKUP(H2434,'Source Codes'!A$2:B$115,2,FALSE)</f>
        <v>AP Warrant Issuance</v>
      </c>
      <c r="J2434" s="422">
        <v>-1461628.49</v>
      </c>
      <c r="K2434" s="385">
        <v>45855</v>
      </c>
      <c r="L2434" s="369" t="s">
        <v>3972</v>
      </c>
      <c r="M2434" s="390">
        <v>45855.758252314816</v>
      </c>
      <c r="N2434" s="366" t="s">
        <v>356</v>
      </c>
      <c r="O2434" s="367" t="s">
        <v>368</v>
      </c>
      <c r="P2434" s="368" t="str">
        <f>IF(J2434&gt;0,"Revenue",IF(J2434&lt;0,"Expense"))</f>
        <v>Expense</v>
      </c>
      <c r="Q2434" s="366" t="s">
        <v>2154</v>
      </c>
      <c r="R2434" s="366" t="s">
        <v>2154</v>
      </c>
      <c r="S2434" s="366" t="s">
        <v>203</v>
      </c>
    </row>
    <row r="2435" spans="1:19" ht="45" hidden="1" outlineLevel="1">
      <c r="B2435" s="384">
        <v>2025</v>
      </c>
      <c r="C2435" s="384">
        <v>12</v>
      </c>
      <c r="D2435" s="367" t="s">
        <v>5</v>
      </c>
      <c r="E2435" s="367" t="s">
        <v>6</v>
      </c>
      <c r="F2435" s="389" t="s">
        <v>3969</v>
      </c>
      <c r="G2435" s="385">
        <v>45813</v>
      </c>
      <c r="H2435" s="367" t="s">
        <v>9</v>
      </c>
      <c r="I2435" s="368" t="str">
        <f>VLOOKUP(H2435,'Source Codes'!A$2:B$115,2,FALSE)</f>
        <v>On Line Journal Entries</v>
      </c>
      <c r="J2435" s="422">
        <v>-6660875</v>
      </c>
      <c r="K2435" s="385">
        <v>45855</v>
      </c>
      <c r="L2435" s="369" t="s">
        <v>3970</v>
      </c>
      <c r="M2435" s="390">
        <v>45855.870358796295</v>
      </c>
      <c r="N2435" s="366" t="s">
        <v>356</v>
      </c>
      <c r="O2435" s="367" t="s">
        <v>368</v>
      </c>
      <c r="P2435" s="368" t="str">
        <f>IF(J2435&gt;0,"Revenue",IF(J2435&lt;0,"Expense"))</f>
        <v>Expense</v>
      </c>
      <c r="Q2435" s="366" t="s">
        <v>2270</v>
      </c>
      <c r="R2435" s="366" t="s">
        <v>3971</v>
      </c>
      <c r="S2435" s="366">
        <v>530280</v>
      </c>
    </row>
    <row r="2436" spans="1:19" ht="12.75" customHeight="1" collapsed="1">
      <c r="J2436" s="413">
        <f>SUM(J2434:J2435)</f>
        <v>-8122503.4900000002</v>
      </c>
    </row>
    <row r="2438" spans="1:19" ht="12.75" customHeight="1">
      <c r="A2438" s="378" t="s">
        <v>3973</v>
      </c>
    </row>
    <row r="2439" spans="1:19" ht="45" hidden="1" outlineLevel="1">
      <c r="B2439" s="384">
        <v>2026</v>
      </c>
      <c r="C2439" s="384">
        <v>1</v>
      </c>
      <c r="D2439" s="367" t="s">
        <v>5</v>
      </c>
      <c r="E2439" s="367" t="s">
        <v>6</v>
      </c>
      <c r="F2439" s="389" t="s">
        <v>3974</v>
      </c>
      <c r="G2439" s="385">
        <v>45855</v>
      </c>
      <c r="H2439" s="367" t="s">
        <v>11</v>
      </c>
      <c r="I2439" s="368" t="str">
        <f>VLOOKUP(H2439,'Source Codes'!A$2:B$115,2,FALSE)</f>
        <v>AR Payments</v>
      </c>
      <c r="J2439" s="422">
        <v>4466865.8600000003</v>
      </c>
      <c r="K2439" s="385">
        <v>45856</v>
      </c>
      <c r="L2439" s="369" t="s">
        <v>3975</v>
      </c>
      <c r="M2439" s="390">
        <v>45856.753252314818</v>
      </c>
      <c r="N2439" s="366" t="s">
        <v>356</v>
      </c>
      <c r="O2439" s="367" t="s">
        <v>357</v>
      </c>
      <c r="P2439" s="368" t="s">
        <v>2290</v>
      </c>
      <c r="Q2439" s="366" t="s">
        <v>2157</v>
      </c>
      <c r="R2439" s="366" t="s">
        <v>2857</v>
      </c>
      <c r="S2439" s="366" t="s">
        <v>2278</v>
      </c>
    </row>
    <row r="2440" spans="1:19" ht="12.75" customHeight="1" collapsed="1">
      <c r="J2440" s="413">
        <f>SUM(J2439)</f>
        <v>4466865.8600000003</v>
      </c>
    </row>
    <row r="2442" spans="1:19" ht="12.75" customHeight="1">
      <c r="A2442" s="378" t="s">
        <v>3976</v>
      </c>
    </row>
    <row r="2443" spans="1:19" ht="30" hidden="1" outlineLevel="1">
      <c r="B2443" s="384">
        <v>2026</v>
      </c>
      <c r="C2443" s="384">
        <v>1</v>
      </c>
      <c r="D2443" s="367" t="s">
        <v>5</v>
      </c>
      <c r="E2443" s="367" t="s">
        <v>6</v>
      </c>
      <c r="F2443" s="389" t="s">
        <v>3977</v>
      </c>
      <c r="G2443" s="385">
        <v>45861</v>
      </c>
      <c r="H2443" s="367" t="s">
        <v>14</v>
      </c>
      <c r="I2443" s="368" t="str">
        <f>VLOOKUP(H2443,'Source Codes'!A$2:B$115,2,FALSE)</f>
        <v>AP Warrant Issuance</v>
      </c>
      <c r="J2443" s="422">
        <v>-1913429.63</v>
      </c>
      <c r="K2443" s="385">
        <v>45859</v>
      </c>
      <c r="L2443" s="369" t="s">
        <v>3997</v>
      </c>
      <c r="M2443" s="390">
        <v>45859.757581018515</v>
      </c>
      <c r="N2443" s="366" t="s">
        <v>356</v>
      </c>
      <c r="O2443" s="367" t="s">
        <v>368</v>
      </c>
      <c r="P2443" s="368" t="str">
        <f t="shared" ref="P2443:P2456" si="40">IF(J2443&gt;0,"Revenue",IF(J2443&lt;0,"Expense"))</f>
        <v>Expense</v>
      </c>
      <c r="Q2443" s="366" t="s">
        <v>2154</v>
      </c>
      <c r="R2443" s="366" t="s">
        <v>2154</v>
      </c>
      <c r="S2443" s="366" t="s">
        <v>203</v>
      </c>
    </row>
    <row r="2444" spans="1:19" ht="30" hidden="1" outlineLevel="1">
      <c r="B2444" s="384">
        <v>2026</v>
      </c>
      <c r="C2444" s="384">
        <v>1</v>
      </c>
      <c r="D2444" s="367" t="s">
        <v>5</v>
      </c>
      <c r="E2444" s="367" t="s">
        <v>6</v>
      </c>
      <c r="F2444" s="389" t="s">
        <v>3978</v>
      </c>
      <c r="G2444" s="385">
        <v>45859</v>
      </c>
      <c r="H2444" s="367" t="s">
        <v>11</v>
      </c>
      <c r="I2444" s="368" t="str">
        <f>VLOOKUP(H2444,'Source Codes'!A$2:B$115,2,FALSE)</f>
        <v>AR Payments</v>
      </c>
      <c r="J2444" s="422">
        <v>1780453.22</v>
      </c>
      <c r="K2444" s="385">
        <v>45859</v>
      </c>
      <c r="L2444" s="369" t="s">
        <v>4004</v>
      </c>
      <c r="M2444" s="390">
        <v>45859.751956018517</v>
      </c>
      <c r="N2444" s="366" t="s">
        <v>356</v>
      </c>
      <c r="O2444" s="367" t="s">
        <v>357</v>
      </c>
      <c r="P2444" s="368" t="str">
        <f t="shared" si="40"/>
        <v>Revenue</v>
      </c>
      <c r="Q2444" s="366" t="s">
        <v>2157</v>
      </c>
      <c r="R2444" s="366" t="s">
        <v>2857</v>
      </c>
      <c r="S2444" s="366">
        <v>118501</v>
      </c>
    </row>
    <row r="2445" spans="1:19" ht="30" hidden="1" outlineLevel="1">
      <c r="B2445" s="384">
        <v>2026</v>
      </c>
      <c r="C2445" s="384">
        <v>1</v>
      </c>
      <c r="D2445" s="367" t="s">
        <v>5</v>
      </c>
      <c r="E2445" s="367" t="s">
        <v>6</v>
      </c>
      <c r="F2445" s="389" t="s">
        <v>3979</v>
      </c>
      <c r="G2445" s="385">
        <v>45853</v>
      </c>
      <c r="H2445" s="367" t="s">
        <v>12</v>
      </c>
      <c r="I2445" s="368" t="str">
        <f>VLOOKUP(H2445,'Source Codes'!A$2:B$115,2,FALSE)</f>
        <v>AR Direct Cash Journal</v>
      </c>
      <c r="J2445" s="422">
        <v>3485182.77</v>
      </c>
      <c r="K2445" s="385">
        <v>45859</v>
      </c>
      <c r="L2445" s="369" t="s">
        <v>4005</v>
      </c>
      <c r="M2445" s="390">
        <v>45859.751956018517</v>
      </c>
      <c r="N2445" s="368" t="s">
        <v>2185</v>
      </c>
      <c r="O2445" s="368" t="s">
        <v>358</v>
      </c>
      <c r="P2445" s="368" t="str">
        <f t="shared" si="40"/>
        <v>Revenue</v>
      </c>
      <c r="Q2445" s="366" t="s">
        <v>3869</v>
      </c>
      <c r="R2445" s="366" t="s">
        <v>3869</v>
      </c>
      <c r="S2445" s="366" t="s">
        <v>3998</v>
      </c>
    </row>
    <row r="2446" spans="1:19" ht="30" hidden="1" outlineLevel="1">
      <c r="B2446" s="384">
        <v>2026</v>
      </c>
      <c r="C2446" s="384">
        <v>1</v>
      </c>
      <c r="D2446" s="367" t="s">
        <v>5</v>
      </c>
      <c r="E2446" s="367" t="s">
        <v>6</v>
      </c>
      <c r="F2446" s="389" t="s">
        <v>3980</v>
      </c>
      <c r="G2446" s="385">
        <v>45854</v>
      </c>
      <c r="H2446" s="367" t="s">
        <v>12</v>
      </c>
      <c r="I2446" s="368" t="str">
        <f>VLOOKUP(H2446,'Source Codes'!A$2:B$115,2,FALSE)</f>
        <v>AR Direct Cash Journal</v>
      </c>
      <c r="J2446" s="422">
        <v>150000000</v>
      </c>
      <c r="K2446" s="385">
        <v>45859</v>
      </c>
      <c r="L2446" s="369" t="s">
        <v>4094</v>
      </c>
      <c r="M2446" s="390">
        <v>45859.751956018517</v>
      </c>
      <c r="N2446" s="368" t="s">
        <v>377</v>
      </c>
      <c r="O2446" s="368" t="s">
        <v>358</v>
      </c>
      <c r="P2446" s="368" t="str">
        <f t="shared" si="40"/>
        <v>Revenue</v>
      </c>
      <c r="Q2446" s="366" t="s">
        <v>2512</v>
      </c>
      <c r="R2446" s="365" t="s">
        <v>4728</v>
      </c>
      <c r="S2446" s="366">
        <v>101500</v>
      </c>
    </row>
    <row r="2447" spans="1:19" ht="30" hidden="1" outlineLevel="1">
      <c r="B2447" s="384">
        <v>2026</v>
      </c>
      <c r="C2447" s="384">
        <v>1</v>
      </c>
      <c r="D2447" s="367" t="s">
        <v>5</v>
      </c>
      <c r="E2447" s="367" t="s">
        <v>6</v>
      </c>
      <c r="F2447" s="389" t="s">
        <v>3981</v>
      </c>
      <c r="G2447" s="385">
        <v>45855</v>
      </c>
      <c r="H2447" s="367" t="s">
        <v>9</v>
      </c>
      <c r="I2447" s="368" t="str">
        <f>VLOOKUP(H2447,'Source Codes'!A$2:B$115,2,FALSE)</f>
        <v>On Line Journal Entries</v>
      </c>
      <c r="J2447" s="422">
        <v>16181104</v>
      </c>
      <c r="K2447" s="385">
        <v>45859</v>
      </c>
      <c r="L2447" s="369" t="s">
        <v>344</v>
      </c>
      <c r="M2447" s="390">
        <v>45859.871238425927</v>
      </c>
      <c r="N2447" s="366" t="s">
        <v>356</v>
      </c>
      <c r="O2447" s="367" t="s">
        <v>364</v>
      </c>
      <c r="P2447" s="368" t="str">
        <f t="shared" si="40"/>
        <v>Revenue</v>
      </c>
      <c r="Q2447" s="366" t="s">
        <v>2232</v>
      </c>
      <c r="R2447" s="366" t="s">
        <v>2232</v>
      </c>
      <c r="S2447" s="366" t="s">
        <v>2532</v>
      </c>
    </row>
    <row r="2448" spans="1:19" ht="30" hidden="1" outlineLevel="1">
      <c r="B2448" s="384">
        <v>2026</v>
      </c>
      <c r="C2448" s="384">
        <v>1</v>
      </c>
      <c r="D2448" s="367" t="s">
        <v>5</v>
      </c>
      <c r="E2448" s="367" t="s">
        <v>6</v>
      </c>
      <c r="F2448" s="389" t="s">
        <v>3982</v>
      </c>
      <c r="G2448" s="385">
        <v>45855</v>
      </c>
      <c r="H2448" s="367" t="s">
        <v>9</v>
      </c>
      <c r="I2448" s="368" t="str">
        <f>VLOOKUP(H2448,'Source Codes'!A$2:B$115,2,FALSE)</f>
        <v>On Line Journal Entries</v>
      </c>
      <c r="J2448" s="422">
        <v>10955162</v>
      </c>
      <c r="K2448" s="385">
        <v>45859</v>
      </c>
      <c r="L2448" s="369" t="s">
        <v>344</v>
      </c>
      <c r="M2448" s="390">
        <v>45859.871238425927</v>
      </c>
      <c r="N2448" s="366" t="s">
        <v>356</v>
      </c>
      <c r="O2448" s="367" t="s">
        <v>364</v>
      </c>
      <c r="P2448" s="368" t="str">
        <f t="shared" si="40"/>
        <v>Revenue</v>
      </c>
      <c r="Q2448" s="366" t="s">
        <v>2232</v>
      </c>
      <c r="R2448" s="366" t="s">
        <v>2232</v>
      </c>
      <c r="S2448" s="366" t="s">
        <v>3999</v>
      </c>
    </row>
    <row r="2449" spans="1:19" ht="45" hidden="1" outlineLevel="1">
      <c r="B2449" s="384">
        <v>2025</v>
      </c>
      <c r="C2449" s="384">
        <v>12</v>
      </c>
      <c r="D2449" s="367" t="s">
        <v>5</v>
      </c>
      <c r="E2449" s="367" t="s">
        <v>6</v>
      </c>
      <c r="F2449" s="389" t="s">
        <v>3983</v>
      </c>
      <c r="G2449" s="385">
        <v>45838</v>
      </c>
      <c r="H2449" s="367" t="s">
        <v>9</v>
      </c>
      <c r="I2449" s="368" t="str">
        <f>VLOOKUP(H2449,'Source Codes'!A$2:B$115,2,FALSE)</f>
        <v>On Line Journal Entries</v>
      </c>
      <c r="J2449" s="422">
        <v>10934122.67</v>
      </c>
      <c r="K2449" s="385">
        <v>45859</v>
      </c>
      <c r="L2449" s="369" t="s">
        <v>3989</v>
      </c>
      <c r="M2449" s="390">
        <v>45859.871238425927</v>
      </c>
      <c r="N2449" s="366" t="s">
        <v>356</v>
      </c>
      <c r="O2449" s="367" t="s">
        <v>371</v>
      </c>
      <c r="P2449" s="368" t="str">
        <f t="shared" si="40"/>
        <v>Revenue</v>
      </c>
      <c r="Q2449" s="366" t="s">
        <v>2427</v>
      </c>
      <c r="R2449" s="366" t="s">
        <v>4000</v>
      </c>
      <c r="S2449" s="366" t="s">
        <v>2160</v>
      </c>
    </row>
    <row r="2450" spans="1:19" ht="30" hidden="1" outlineLevel="1">
      <c r="B2450" s="384">
        <v>2026</v>
      </c>
      <c r="C2450" s="384">
        <v>1</v>
      </c>
      <c r="D2450" s="367" t="s">
        <v>5</v>
      </c>
      <c r="E2450" s="367" t="s">
        <v>6</v>
      </c>
      <c r="F2450" s="389" t="s">
        <v>3984</v>
      </c>
      <c r="G2450" s="385">
        <v>45855</v>
      </c>
      <c r="H2450" s="367" t="s">
        <v>9</v>
      </c>
      <c r="I2450" s="368" t="str">
        <f>VLOOKUP(H2450,'Source Codes'!A$2:B$115,2,FALSE)</f>
        <v>On Line Journal Entries</v>
      </c>
      <c r="J2450" s="422">
        <v>4352467</v>
      </c>
      <c r="K2450" s="385">
        <v>45859</v>
      </c>
      <c r="L2450" s="369" t="s">
        <v>3990</v>
      </c>
      <c r="M2450" s="390">
        <v>45859.871238425927</v>
      </c>
      <c r="N2450" s="366" t="s">
        <v>356</v>
      </c>
      <c r="O2450" s="367" t="s">
        <v>369</v>
      </c>
      <c r="P2450" s="368" t="str">
        <f t="shared" si="40"/>
        <v>Revenue</v>
      </c>
      <c r="Q2450" s="366" t="s">
        <v>2268</v>
      </c>
      <c r="R2450" s="365">
        <v>45839</v>
      </c>
      <c r="S2450" s="366" t="s">
        <v>2534</v>
      </c>
    </row>
    <row r="2451" spans="1:19" ht="30" hidden="1" outlineLevel="1">
      <c r="B2451" s="384">
        <v>2026</v>
      </c>
      <c r="C2451" s="384">
        <v>1</v>
      </c>
      <c r="D2451" s="367" t="s">
        <v>5</v>
      </c>
      <c r="E2451" s="367" t="s">
        <v>6</v>
      </c>
      <c r="F2451" s="389" t="s">
        <v>3985</v>
      </c>
      <c r="G2451" s="385">
        <v>45855</v>
      </c>
      <c r="H2451" s="367" t="s">
        <v>9</v>
      </c>
      <c r="I2451" s="368" t="str">
        <f>VLOOKUP(H2451,'Source Codes'!A$2:B$115,2,FALSE)</f>
        <v>On Line Journal Entries</v>
      </c>
      <c r="J2451" s="422">
        <v>4183117</v>
      </c>
      <c r="K2451" s="385">
        <v>45859</v>
      </c>
      <c r="L2451" s="369" t="s">
        <v>344</v>
      </c>
      <c r="M2451" s="390">
        <v>45859.871238425927</v>
      </c>
      <c r="N2451" s="366" t="s">
        <v>356</v>
      </c>
      <c r="O2451" s="367" t="s">
        <v>364</v>
      </c>
      <c r="P2451" s="368" t="str">
        <f t="shared" si="40"/>
        <v>Revenue</v>
      </c>
      <c r="Q2451" s="366" t="s">
        <v>2232</v>
      </c>
      <c r="R2451" s="366" t="s">
        <v>2232</v>
      </c>
      <c r="S2451" s="366" t="s">
        <v>4001</v>
      </c>
    </row>
    <row r="2452" spans="1:19" ht="30" hidden="1" outlineLevel="1">
      <c r="B2452" s="384">
        <v>2026</v>
      </c>
      <c r="C2452" s="384">
        <v>1</v>
      </c>
      <c r="D2452" s="367" t="s">
        <v>5</v>
      </c>
      <c r="E2452" s="367" t="s">
        <v>6</v>
      </c>
      <c r="F2452" s="389" t="s">
        <v>3986</v>
      </c>
      <c r="G2452" s="385">
        <v>45855</v>
      </c>
      <c r="H2452" s="367" t="s">
        <v>9</v>
      </c>
      <c r="I2452" s="368" t="str">
        <f>VLOOKUP(H2452,'Source Codes'!A$2:B$115,2,FALSE)</f>
        <v>On Line Journal Entries</v>
      </c>
      <c r="J2452" s="422">
        <v>2979816</v>
      </c>
      <c r="K2452" s="385">
        <v>45859</v>
      </c>
      <c r="L2452" s="369" t="s">
        <v>344</v>
      </c>
      <c r="M2452" s="390">
        <v>45859.871238425927</v>
      </c>
      <c r="N2452" s="366" t="s">
        <v>356</v>
      </c>
      <c r="O2452" s="367" t="s">
        <v>364</v>
      </c>
      <c r="P2452" s="368" t="str">
        <f t="shared" si="40"/>
        <v>Revenue</v>
      </c>
      <c r="Q2452" s="366" t="s">
        <v>2232</v>
      </c>
      <c r="R2452" s="366" t="s">
        <v>2232</v>
      </c>
      <c r="S2452" s="366" t="s">
        <v>4001</v>
      </c>
    </row>
    <row r="2453" spans="1:19" ht="15" hidden="1" outlineLevel="1">
      <c r="B2453" s="384">
        <v>2025</v>
      </c>
      <c r="C2453" s="384">
        <v>12</v>
      </c>
      <c r="D2453" s="367" t="s">
        <v>5</v>
      </c>
      <c r="E2453" s="367" t="s">
        <v>6</v>
      </c>
      <c r="F2453" s="389" t="s">
        <v>3987</v>
      </c>
      <c r="G2453" s="385">
        <v>45838</v>
      </c>
      <c r="H2453" s="367" t="s">
        <v>9</v>
      </c>
      <c r="I2453" s="368" t="str">
        <f>VLOOKUP(H2453,'Source Codes'!A$2:B$115,2,FALSE)</f>
        <v>On Line Journal Entries</v>
      </c>
      <c r="J2453" s="422">
        <v>1602973.65</v>
      </c>
      <c r="K2453" s="385">
        <v>45859</v>
      </c>
      <c r="L2453" s="369" t="s">
        <v>3991</v>
      </c>
      <c r="M2453" s="390">
        <v>45859.871238425927</v>
      </c>
      <c r="N2453" s="368" t="s">
        <v>359</v>
      </c>
      <c r="O2453" s="368" t="s">
        <v>371</v>
      </c>
      <c r="P2453" s="368" t="str">
        <f t="shared" si="40"/>
        <v>Revenue</v>
      </c>
      <c r="Q2453" s="366" t="s">
        <v>2164</v>
      </c>
      <c r="R2453" s="365">
        <v>45809</v>
      </c>
      <c r="S2453" s="366">
        <v>755909</v>
      </c>
    </row>
    <row r="2454" spans="1:19" ht="45" hidden="1" outlineLevel="1">
      <c r="B2454" s="384">
        <v>2025</v>
      </c>
      <c r="C2454" s="384">
        <v>12</v>
      </c>
      <c r="D2454" s="367" t="s">
        <v>5</v>
      </c>
      <c r="E2454" s="367" t="s">
        <v>6</v>
      </c>
      <c r="F2454" s="389" t="s">
        <v>3988</v>
      </c>
      <c r="G2454" s="385">
        <v>45838</v>
      </c>
      <c r="H2454" s="367" t="s">
        <v>9</v>
      </c>
      <c r="I2454" s="368" t="str">
        <f>VLOOKUP(H2454,'Source Codes'!A$2:B$115,2,FALSE)</f>
        <v>On Line Journal Entries</v>
      </c>
      <c r="J2454" s="422">
        <v>1041596.6</v>
      </c>
      <c r="K2454" s="385">
        <v>45859</v>
      </c>
      <c r="L2454" s="369" t="s">
        <v>3992</v>
      </c>
      <c r="M2454" s="390">
        <v>45859.871238425927</v>
      </c>
      <c r="N2454" s="366" t="s">
        <v>356</v>
      </c>
      <c r="O2454" s="367" t="s">
        <v>371</v>
      </c>
      <c r="P2454" s="368" t="str">
        <f t="shared" si="40"/>
        <v>Revenue</v>
      </c>
      <c r="Q2454" s="366" t="s">
        <v>2427</v>
      </c>
      <c r="R2454" s="366" t="s">
        <v>4000</v>
      </c>
      <c r="S2454" s="366">
        <v>751500</v>
      </c>
    </row>
    <row r="2455" spans="1:19" ht="45" hidden="1" outlineLevel="1">
      <c r="B2455" s="384">
        <v>2025</v>
      </c>
      <c r="C2455" s="384">
        <v>12</v>
      </c>
      <c r="D2455" s="367" t="s">
        <v>5</v>
      </c>
      <c r="E2455" s="367" t="s">
        <v>6</v>
      </c>
      <c r="F2455" s="389" t="s">
        <v>3993</v>
      </c>
      <c r="G2455" s="385">
        <v>45838</v>
      </c>
      <c r="H2455" s="367" t="s">
        <v>9</v>
      </c>
      <c r="I2455" s="368" t="str">
        <f>VLOOKUP(H2455,'Source Codes'!A$2:B$115,2,FALSE)</f>
        <v>On Line Journal Entries</v>
      </c>
      <c r="J2455" s="422">
        <v>-2568550.63</v>
      </c>
      <c r="K2455" s="385">
        <v>45859</v>
      </c>
      <c r="L2455" s="369" t="s">
        <v>3995</v>
      </c>
      <c r="M2455" s="390">
        <v>45859.871238425927</v>
      </c>
      <c r="N2455" s="366" t="s">
        <v>356</v>
      </c>
      <c r="O2455" s="367" t="s">
        <v>371</v>
      </c>
      <c r="P2455" s="368" t="str">
        <f t="shared" si="40"/>
        <v>Expense</v>
      </c>
      <c r="Q2455" s="366" t="s">
        <v>3579</v>
      </c>
      <c r="R2455" s="366" t="s">
        <v>4002</v>
      </c>
      <c r="S2455" s="366" t="s">
        <v>2166</v>
      </c>
    </row>
    <row r="2456" spans="1:19" ht="45" hidden="1" outlineLevel="1">
      <c r="B2456" s="384">
        <v>2025</v>
      </c>
      <c r="C2456" s="384">
        <v>12</v>
      </c>
      <c r="D2456" s="367" t="s">
        <v>5</v>
      </c>
      <c r="E2456" s="367" t="s">
        <v>6</v>
      </c>
      <c r="F2456" s="389" t="s">
        <v>3994</v>
      </c>
      <c r="G2456" s="385">
        <v>45838</v>
      </c>
      <c r="H2456" s="367" t="s">
        <v>9</v>
      </c>
      <c r="I2456" s="368" t="str">
        <f>VLOOKUP(H2456,'Source Codes'!A$2:B$115,2,FALSE)</f>
        <v>On Line Journal Entries</v>
      </c>
      <c r="J2456" s="422">
        <v>-9610315.3699999992</v>
      </c>
      <c r="K2456" s="385">
        <v>45859</v>
      </c>
      <c r="L2456" s="369" t="s">
        <v>3996</v>
      </c>
      <c r="M2456" s="390">
        <v>45859.871238425927</v>
      </c>
      <c r="N2456" s="368" t="s">
        <v>2185</v>
      </c>
      <c r="O2456" s="368" t="s">
        <v>385</v>
      </c>
      <c r="P2456" s="368" t="str">
        <f t="shared" si="40"/>
        <v>Expense</v>
      </c>
      <c r="Q2456" s="366" t="s">
        <v>4003</v>
      </c>
      <c r="R2456" s="366" t="s">
        <v>4003</v>
      </c>
      <c r="S2456" s="366">
        <v>763500</v>
      </c>
    </row>
    <row r="2457" spans="1:19" ht="12.75" customHeight="1" collapsed="1">
      <c r="J2457" s="413">
        <f>SUM(J2443:J2456)</f>
        <v>193403699.28</v>
      </c>
    </row>
    <row r="2459" spans="1:19" ht="12.75" customHeight="1">
      <c r="A2459" s="378" t="s">
        <v>4006</v>
      </c>
    </row>
    <row r="2460" spans="1:19" ht="30" hidden="1" outlineLevel="1">
      <c r="B2460" s="384">
        <v>2026</v>
      </c>
      <c r="C2460" s="384">
        <v>1</v>
      </c>
      <c r="D2460" s="367" t="s">
        <v>5</v>
      </c>
      <c r="E2460" s="367" t="s">
        <v>6</v>
      </c>
      <c r="F2460" s="389" t="s">
        <v>4007</v>
      </c>
      <c r="G2460" s="385">
        <v>45860</v>
      </c>
      <c r="H2460" s="367" t="s">
        <v>14</v>
      </c>
      <c r="I2460" s="368" t="str">
        <f>VLOOKUP(H2460,'Source Codes'!A$2:B$115,2,FALSE)</f>
        <v>AP Warrant Issuance</v>
      </c>
      <c r="J2460" s="422">
        <v>-2540663.67</v>
      </c>
      <c r="K2460" s="385">
        <v>45860</v>
      </c>
      <c r="L2460" s="369" t="s">
        <v>4017</v>
      </c>
      <c r="M2460" s="390">
        <v>45860.758946759262</v>
      </c>
      <c r="N2460" s="366" t="s">
        <v>356</v>
      </c>
      <c r="O2460" s="367" t="s">
        <v>368</v>
      </c>
      <c r="P2460" s="368" t="s">
        <v>2613</v>
      </c>
      <c r="Q2460" s="366" t="s">
        <v>2154</v>
      </c>
      <c r="R2460" s="366" t="s">
        <v>2154</v>
      </c>
      <c r="S2460" s="366" t="s">
        <v>203</v>
      </c>
    </row>
    <row r="2461" spans="1:19" ht="30" hidden="1" outlineLevel="1">
      <c r="B2461" s="384">
        <v>2026</v>
      </c>
      <c r="C2461" s="384">
        <v>1</v>
      </c>
      <c r="D2461" s="367" t="s">
        <v>5</v>
      </c>
      <c r="E2461" s="367" t="s">
        <v>6</v>
      </c>
      <c r="F2461" s="389" t="s">
        <v>4008</v>
      </c>
      <c r="G2461" s="385">
        <v>45860</v>
      </c>
      <c r="H2461" s="367" t="s">
        <v>14</v>
      </c>
      <c r="I2461" s="368" t="str">
        <f>VLOOKUP(H2461,'Source Codes'!A$2:B$115,2,FALSE)</f>
        <v>AP Warrant Issuance</v>
      </c>
      <c r="J2461" s="422">
        <v>-1073658.79</v>
      </c>
      <c r="K2461" s="385">
        <v>45860</v>
      </c>
      <c r="L2461" s="369" t="s">
        <v>4046</v>
      </c>
      <c r="M2461" s="390">
        <v>45860.758946759262</v>
      </c>
      <c r="N2461" s="366" t="s">
        <v>356</v>
      </c>
      <c r="O2461" s="367" t="s">
        <v>357</v>
      </c>
      <c r="P2461" s="368" t="s">
        <v>2613</v>
      </c>
      <c r="Q2461" s="366" t="s">
        <v>3757</v>
      </c>
      <c r="R2461" s="366" t="s">
        <v>3758</v>
      </c>
      <c r="S2461" s="366" t="s">
        <v>203</v>
      </c>
    </row>
    <row r="2462" spans="1:19" ht="12.75" hidden="1" customHeight="1" outlineLevel="1">
      <c r="B2462" s="384">
        <v>2025</v>
      </c>
      <c r="C2462" s="384">
        <v>12</v>
      </c>
      <c r="D2462" s="367" t="s">
        <v>5</v>
      </c>
      <c r="E2462" s="367" t="s">
        <v>6</v>
      </c>
      <c r="F2462" s="389" t="s">
        <v>4009</v>
      </c>
      <c r="G2462" s="385">
        <v>45838</v>
      </c>
      <c r="H2462" s="367" t="s">
        <v>9</v>
      </c>
      <c r="I2462" s="368" t="str">
        <f>VLOOKUP(H2462,'Source Codes'!A$2:B$115,2,FALSE)</f>
        <v>On Line Journal Entries</v>
      </c>
      <c r="J2462" s="422">
        <v>22767542.609999999</v>
      </c>
      <c r="K2462" s="385">
        <v>45860</v>
      </c>
      <c r="L2462" s="369" t="s">
        <v>4013</v>
      </c>
      <c r="M2462" s="390">
        <v>45860.871747685182</v>
      </c>
      <c r="N2462" s="366" t="s">
        <v>356</v>
      </c>
      <c r="O2462" s="367" t="s">
        <v>371</v>
      </c>
      <c r="P2462" s="368" t="s">
        <v>2290</v>
      </c>
      <c r="Q2462" s="366" t="s">
        <v>2158</v>
      </c>
      <c r="R2462" s="366" t="s">
        <v>4018</v>
      </c>
      <c r="S2462" s="366">
        <v>755120</v>
      </c>
    </row>
    <row r="2463" spans="1:19" ht="54" hidden="1" customHeight="1" outlineLevel="1">
      <c r="B2463" s="384">
        <v>2025</v>
      </c>
      <c r="C2463" s="384">
        <v>12</v>
      </c>
      <c r="D2463" s="367" t="s">
        <v>5</v>
      </c>
      <c r="E2463" s="367" t="s">
        <v>6</v>
      </c>
      <c r="F2463" s="389" t="s">
        <v>4010</v>
      </c>
      <c r="G2463" s="385">
        <v>45838</v>
      </c>
      <c r="H2463" s="367" t="s">
        <v>16</v>
      </c>
      <c r="I2463" s="368" t="str">
        <f>VLOOKUP(H2463,'Source Codes'!A$2:B$115,2,FALSE)</f>
        <v>Property Tax Interface</v>
      </c>
      <c r="J2463" s="422">
        <v>4499915.2</v>
      </c>
      <c r="K2463" s="385">
        <v>45860</v>
      </c>
      <c r="L2463" s="369" t="s">
        <v>4014</v>
      </c>
      <c r="M2463" s="390">
        <v>45860.373506944445</v>
      </c>
      <c r="N2463" s="368" t="s">
        <v>361</v>
      </c>
      <c r="O2463" s="368" t="s">
        <v>384</v>
      </c>
      <c r="P2463" s="368" t="s">
        <v>2290</v>
      </c>
      <c r="Q2463" s="366" t="s">
        <v>2946</v>
      </c>
      <c r="R2463" s="365" t="s">
        <v>4019</v>
      </c>
      <c r="S2463" s="366" t="s">
        <v>3424</v>
      </c>
    </row>
    <row r="2464" spans="1:19" ht="15" hidden="1" outlineLevel="1">
      <c r="B2464" s="384">
        <v>2025</v>
      </c>
      <c r="C2464" s="384">
        <v>12</v>
      </c>
      <c r="D2464" s="367" t="s">
        <v>5</v>
      </c>
      <c r="E2464" s="367" t="s">
        <v>6</v>
      </c>
      <c r="F2464" s="389" t="s">
        <v>4011</v>
      </c>
      <c r="G2464" s="385">
        <v>45838</v>
      </c>
      <c r="H2464" s="367" t="s">
        <v>9</v>
      </c>
      <c r="I2464" s="368" t="str">
        <f>VLOOKUP(H2464,'Source Codes'!A$2:B$115,2,FALSE)</f>
        <v>On Line Journal Entries</v>
      </c>
      <c r="J2464" s="422">
        <v>1423452.88</v>
      </c>
      <c r="K2464" s="385">
        <v>45860</v>
      </c>
      <c r="L2464" s="369" t="s">
        <v>4015</v>
      </c>
      <c r="M2464" s="390">
        <v>45860.871747685182</v>
      </c>
      <c r="N2464" s="366" t="s">
        <v>372</v>
      </c>
      <c r="O2464" s="367" t="s">
        <v>368</v>
      </c>
      <c r="P2464" s="368" t="s">
        <v>2290</v>
      </c>
      <c r="Q2464" s="366" t="s">
        <v>2869</v>
      </c>
      <c r="R2464" s="366" t="s">
        <v>3150</v>
      </c>
      <c r="S2464" s="366">
        <v>755926</v>
      </c>
    </row>
    <row r="2465" spans="1:19" ht="30" hidden="1" outlineLevel="1">
      <c r="B2465" s="384">
        <v>2026</v>
      </c>
      <c r="C2465" s="384">
        <v>1</v>
      </c>
      <c r="D2465" s="367" t="s">
        <v>5</v>
      </c>
      <c r="E2465" s="367" t="s">
        <v>6</v>
      </c>
      <c r="F2465" s="389" t="s">
        <v>4012</v>
      </c>
      <c r="G2465" s="385">
        <v>45855</v>
      </c>
      <c r="H2465" s="367" t="s">
        <v>337</v>
      </c>
      <c r="I2465" s="368" t="str">
        <f>VLOOKUP(H2465,'Source Codes'!A$2:B$115,2,FALSE)</f>
        <v>Facilities Mngmnt Intfc Jrnls</v>
      </c>
      <c r="J2465" s="422">
        <v>-4446541.18</v>
      </c>
      <c r="K2465" s="385">
        <v>45860</v>
      </c>
      <c r="L2465" s="369" t="s">
        <v>4016</v>
      </c>
      <c r="M2465" s="390">
        <v>45860.871782407405</v>
      </c>
      <c r="N2465" s="366" t="s">
        <v>356</v>
      </c>
      <c r="O2465" s="367" t="s">
        <v>367</v>
      </c>
      <c r="P2465" s="368" t="s">
        <v>2613</v>
      </c>
      <c r="Q2465" s="366" t="s">
        <v>2237</v>
      </c>
      <c r="R2465" s="366" t="s">
        <v>4020</v>
      </c>
      <c r="S2465" s="366" t="s">
        <v>2239</v>
      </c>
    </row>
    <row r="2466" spans="1:19" ht="12.75" customHeight="1" collapsed="1">
      <c r="J2466" s="413">
        <f>SUM(J2460:J2465)</f>
        <v>20630047.049999997</v>
      </c>
    </row>
    <row r="2468" spans="1:19" ht="12.75" customHeight="1">
      <c r="A2468" s="378" t="s">
        <v>4021</v>
      </c>
    </row>
    <row r="2469" spans="1:19" ht="30" hidden="1" outlineLevel="1">
      <c r="B2469" s="384">
        <v>2026</v>
      </c>
      <c r="C2469" s="384">
        <v>1</v>
      </c>
      <c r="D2469" s="367" t="s">
        <v>5</v>
      </c>
      <c r="E2469" s="367" t="s">
        <v>6</v>
      </c>
      <c r="F2469" s="389" t="s">
        <v>4022</v>
      </c>
      <c r="G2469" s="385">
        <v>45863</v>
      </c>
      <c r="H2469" s="367" t="s">
        <v>14</v>
      </c>
      <c r="I2469" s="368" t="str">
        <f>VLOOKUP(H2469,'Source Codes'!A$2:B$115,2,FALSE)</f>
        <v>AP Warrant Issuance</v>
      </c>
      <c r="J2469" s="422">
        <v>-4157306.34</v>
      </c>
      <c r="K2469" s="385">
        <v>45861</v>
      </c>
      <c r="L2469" s="369" t="s">
        <v>4025</v>
      </c>
      <c r="M2469" s="390">
        <v>45861.759004629632</v>
      </c>
      <c r="N2469" s="366" t="s">
        <v>356</v>
      </c>
      <c r="O2469" s="367" t="s">
        <v>368</v>
      </c>
      <c r="P2469" s="368" t="s">
        <v>2613</v>
      </c>
      <c r="Q2469" s="366" t="s">
        <v>2154</v>
      </c>
      <c r="R2469" s="366" t="s">
        <v>2154</v>
      </c>
      <c r="S2469" s="366" t="s">
        <v>203</v>
      </c>
    </row>
    <row r="2470" spans="1:19" ht="30" hidden="1" outlineLevel="1">
      <c r="B2470" s="384">
        <v>2026</v>
      </c>
      <c r="C2470" s="384">
        <v>1</v>
      </c>
      <c r="D2470" s="367" t="s">
        <v>5</v>
      </c>
      <c r="E2470" s="367" t="s">
        <v>6</v>
      </c>
      <c r="F2470" s="389" t="s">
        <v>4023</v>
      </c>
      <c r="G2470" s="385">
        <v>45861</v>
      </c>
      <c r="H2470" s="367" t="s">
        <v>14</v>
      </c>
      <c r="I2470" s="368" t="str">
        <f>VLOOKUP(H2470,'Source Codes'!A$2:B$115,2,FALSE)</f>
        <v>AP Warrant Issuance</v>
      </c>
      <c r="J2470" s="422">
        <v>-3481778.57</v>
      </c>
      <c r="K2470" s="385">
        <v>45861</v>
      </c>
      <c r="L2470" s="369" t="s">
        <v>4026</v>
      </c>
      <c r="M2470" s="390">
        <v>45861.759004629632</v>
      </c>
      <c r="N2470" s="366" t="s">
        <v>356</v>
      </c>
      <c r="O2470" s="367" t="s">
        <v>368</v>
      </c>
      <c r="P2470" s="368" t="s">
        <v>2613</v>
      </c>
      <c r="Q2470" s="366" t="s">
        <v>2154</v>
      </c>
      <c r="R2470" s="366" t="s">
        <v>2154</v>
      </c>
      <c r="S2470" s="366" t="s">
        <v>203</v>
      </c>
    </row>
    <row r="2471" spans="1:19" ht="30" hidden="1" outlineLevel="1">
      <c r="B2471" s="384">
        <v>2026</v>
      </c>
      <c r="C2471" s="384">
        <v>1</v>
      </c>
      <c r="D2471" s="367" t="s">
        <v>5</v>
      </c>
      <c r="E2471" s="367" t="s">
        <v>6</v>
      </c>
      <c r="F2471" s="389" t="s">
        <v>4024</v>
      </c>
      <c r="G2471" s="385">
        <v>45861</v>
      </c>
      <c r="H2471" s="367" t="s">
        <v>14</v>
      </c>
      <c r="I2471" s="368" t="str">
        <f>VLOOKUP(H2471,'Source Codes'!A$2:B$115,2,FALSE)</f>
        <v>AP Warrant Issuance</v>
      </c>
      <c r="J2471" s="422">
        <v>-1173444.43</v>
      </c>
      <c r="K2471" s="385">
        <v>45861</v>
      </c>
      <c r="L2471" s="369" t="s">
        <v>4027</v>
      </c>
      <c r="M2471" s="390">
        <v>45861.759004629632</v>
      </c>
      <c r="N2471" s="366" t="s">
        <v>356</v>
      </c>
      <c r="O2471" s="367" t="s">
        <v>357</v>
      </c>
      <c r="P2471" s="368" t="s">
        <v>2613</v>
      </c>
      <c r="Q2471" s="366" t="s">
        <v>3757</v>
      </c>
      <c r="R2471" s="366" t="s">
        <v>3758</v>
      </c>
      <c r="S2471" s="366" t="s">
        <v>203</v>
      </c>
    </row>
    <row r="2472" spans="1:19" ht="12.75" customHeight="1" collapsed="1">
      <c r="J2472" s="413">
        <f>SUM(J2469:J2471)</f>
        <v>-8812529.3399999999</v>
      </c>
    </row>
    <row r="2474" spans="1:19" ht="12.75" customHeight="1">
      <c r="A2474" s="378" t="s">
        <v>4028</v>
      </c>
    </row>
    <row r="2475" spans="1:19" ht="30" hidden="1" outlineLevel="1">
      <c r="B2475" s="384">
        <v>2026</v>
      </c>
      <c r="C2475" s="384">
        <v>1</v>
      </c>
      <c r="D2475" s="367" t="s">
        <v>5</v>
      </c>
      <c r="E2475" s="367" t="s">
        <v>6</v>
      </c>
      <c r="F2475" s="389" t="s">
        <v>4029</v>
      </c>
      <c r="G2475" s="385">
        <v>45862</v>
      </c>
      <c r="H2475" s="367" t="s">
        <v>14</v>
      </c>
      <c r="I2475" s="368" t="str">
        <f>VLOOKUP(H2475,'Source Codes'!A$2:B$115,2,FALSE)</f>
        <v>AP Warrant Issuance</v>
      </c>
      <c r="J2475" s="422">
        <v>-1810395.62</v>
      </c>
      <c r="K2475" s="385">
        <v>45862</v>
      </c>
      <c r="L2475" s="369" t="s">
        <v>4043</v>
      </c>
      <c r="M2475" s="390">
        <v>45862.757650462961</v>
      </c>
      <c r="N2475" s="366" t="s">
        <v>356</v>
      </c>
      <c r="O2475" s="367" t="s">
        <v>368</v>
      </c>
      <c r="P2475" s="368" t="s">
        <v>2613</v>
      </c>
      <c r="Q2475" s="366" t="s">
        <v>2154</v>
      </c>
      <c r="R2475" s="366" t="s">
        <v>2154</v>
      </c>
      <c r="S2475" s="366" t="s">
        <v>203</v>
      </c>
    </row>
    <row r="2476" spans="1:19" ht="45" hidden="1" outlineLevel="1">
      <c r="B2476" s="384">
        <v>2026</v>
      </c>
      <c r="C2476" s="384">
        <v>1</v>
      </c>
      <c r="D2476" s="367" t="s">
        <v>5</v>
      </c>
      <c r="E2476" s="367" t="s">
        <v>6</v>
      </c>
      <c r="F2476" s="389" t="s">
        <v>4030</v>
      </c>
      <c r="G2476" s="385">
        <v>45862</v>
      </c>
      <c r="H2476" s="367" t="s">
        <v>14</v>
      </c>
      <c r="I2476" s="368" t="str">
        <f>VLOOKUP(H2476,'Source Codes'!A$2:B$115,2,FALSE)</f>
        <v>AP Warrant Issuance</v>
      </c>
      <c r="J2476" s="422">
        <v>-1004194.59</v>
      </c>
      <c r="K2476" s="385">
        <v>45862</v>
      </c>
      <c r="L2476" s="369" t="s">
        <v>4042</v>
      </c>
      <c r="M2476" s="390">
        <v>45862.757650462961</v>
      </c>
      <c r="N2476" s="368" t="s">
        <v>2185</v>
      </c>
      <c r="O2476" s="368" t="s">
        <v>375</v>
      </c>
      <c r="P2476" s="368" t="s">
        <v>2613</v>
      </c>
      <c r="Q2476" s="366" t="s">
        <v>2255</v>
      </c>
      <c r="R2476" s="366" t="s">
        <v>4037</v>
      </c>
      <c r="S2476" s="366" t="s">
        <v>4041</v>
      </c>
    </row>
    <row r="2477" spans="1:19" ht="30" hidden="1" outlineLevel="1">
      <c r="B2477" s="384">
        <v>2026</v>
      </c>
      <c r="C2477" s="384">
        <v>2</v>
      </c>
      <c r="D2477" s="367" t="s">
        <v>5</v>
      </c>
      <c r="E2477" s="367" t="s">
        <v>6</v>
      </c>
      <c r="F2477" s="389" t="s">
        <v>4031</v>
      </c>
      <c r="G2477" s="385">
        <v>45870</v>
      </c>
      <c r="H2477" s="367" t="s">
        <v>9</v>
      </c>
      <c r="I2477" s="368" t="str">
        <f>VLOOKUP(H2477,'Source Codes'!A$2:B$115,2,FALSE)</f>
        <v>On Line Journal Entries</v>
      </c>
      <c r="J2477" s="422">
        <v>12455356.199999999</v>
      </c>
      <c r="K2477" s="385">
        <v>45862</v>
      </c>
      <c r="L2477" s="369" t="s">
        <v>4034</v>
      </c>
      <c r="M2477" s="390">
        <v>45862.870763888888</v>
      </c>
      <c r="N2477" s="368" t="s">
        <v>387</v>
      </c>
      <c r="O2477" s="368" t="s">
        <v>358</v>
      </c>
      <c r="P2477" s="368" t="s">
        <v>2290</v>
      </c>
      <c r="Q2477" s="366" t="s">
        <v>2512</v>
      </c>
      <c r="R2477" s="366" t="s">
        <v>4038</v>
      </c>
      <c r="S2477" s="366">
        <v>208143</v>
      </c>
    </row>
    <row r="2478" spans="1:19" ht="12.75" hidden="1" customHeight="1" outlineLevel="1">
      <c r="B2478" s="384">
        <v>2025</v>
      </c>
      <c r="C2478" s="384">
        <v>12</v>
      </c>
      <c r="D2478" s="367" t="s">
        <v>5</v>
      </c>
      <c r="E2478" s="367" t="s">
        <v>6</v>
      </c>
      <c r="F2478" s="389" t="s">
        <v>4032</v>
      </c>
      <c r="G2478" s="385">
        <v>45838</v>
      </c>
      <c r="H2478" s="367" t="s">
        <v>110</v>
      </c>
      <c r="I2478" s="368" t="str">
        <f>VLOOKUP(H2478,'Source Codes'!A$2:B$115,2,FALSE)</f>
        <v>Treasurers Interest Apportion</v>
      </c>
      <c r="J2478" s="422">
        <v>3165340.45</v>
      </c>
      <c r="K2478" s="385">
        <v>45862</v>
      </c>
      <c r="L2478" s="369" t="s">
        <v>4035</v>
      </c>
      <c r="M2478" s="390">
        <v>45862.682222222225</v>
      </c>
      <c r="N2478" s="366" t="s">
        <v>372</v>
      </c>
      <c r="O2478" s="367" t="s">
        <v>371</v>
      </c>
      <c r="P2478" s="368" t="s">
        <v>2290</v>
      </c>
      <c r="Q2478" s="366" t="s">
        <v>2363</v>
      </c>
      <c r="R2478" s="366" t="s">
        <v>4039</v>
      </c>
      <c r="S2478" s="366">
        <v>740020</v>
      </c>
    </row>
    <row r="2479" spans="1:19" ht="30" hidden="1" outlineLevel="1">
      <c r="B2479" s="384">
        <v>2026</v>
      </c>
      <c r="C2479" s="384">
        <v>1</v>
      </c>
      <c r="D2479" s="367" t="s">
        <v>5</v>
      </c>
      <c r="E2479" s="367" t="s">
        <v>6</v>
      </c>
      <c r="F2479" s="389" t="s">
        <v>4033</v>
      </c>
      <c r="G2479" s="385">
        <v>45861</v>
      </c>
      <c r="H2479" s="367" t="s">
        <v>337</v>
      </c>
      <c r="I2479" s="368" t="str">
        <f>VLOOKUP(H2479,'Source Codes'!A$2:B$115,2,FALSE)</f>
        <v>Facilities Mngmnt Intfc Jrnls</v>
      </c>
      <c r="J2479" s="422">
        <v>-4384640.42</v>
      </c>
      <c r="K2479" s="385">
        <v>45862</v>
      </c>
      <c r="L2479" s="369" t="s">
        <v>4036</v>
      </c>
      <c r="M2479" s="390">
        <v>45862.60833333333</v>
      </c>
      <c r="N2479" s="366" t="s">
        <v>356</v>
      </c>
      <c r="O2479" s="367" t="s">
        <v>367</v>
      </c>
      <c r="P2479" s="368" t="s">
        <v>2613</v>
      </c>
      <c r="Q2479" s="366" t="s">
        <v>2237</v>
      </c>
      <c r="R2479" s="366" t="s">
        <v>4040</v>
      </c>
      <c r="S2479" s="366" t="s">
        <v>2239</v>
      </c>
    </row>
    <row r="2480" spans="1:19" ht="12.75" customHeight="1" collapsed="1">
      <c r="I2480" s="368"/>
      <c r="J2480" s="413">
        <f>SUM(J2475:J2479)</f>
        <v>8421466.0199999977</v>
      </c>
    </row>
    <row r="2481" spans="1:19" ht="12.75" customHeight="1">
      <c r="I2481" s="368"/>
    </row>
    <row r="2482" spans="1:19" ht="12.75" customHeight="1">
      <c r="A2482" s="378" t="s">
        <v>4044</v>
      </c>
      <c r="I2482" s="368"/>
    </row>
    <row r="2483" spans="1:19" ht="45" hidden="1" outlineLevel="1">
      <c r="B2483" s="384">
        <v>2026</v>
      </c>
      <c r="C2483" s="384">
        <v>1</v>
      </c>
      <c r="D2483" s="367" t="s">
        <v>5</v>
      </c>
      <c r="E2483" s="367" t="s">
        <v>6</v>
      </c>
      <c r="F2483" s="389" t="s">
        <v>4045</v>
      </c>
      <c r="G2483" s="385">
        <v>45863</v>
      </c>
      <c r="H2483" s="367" t="s">
        <v>11</v>
      </c>
      <c r="I2483" s="368" t="str">
        <f>VLOOKUP(H2483,'Source Codes'!A$2:B$115,2,FALSE)</f>
        <v>AR Payments</v>
      </c>
      <c r="J2483" s="422">
        <v>1942125.59</v>
      </c>
      <c r="K2483" s="385">
        <v>45863</v>
      </c>
      <c r="L2483" s="369" t="s">
        <v>4047</v>
      </c>
      <c r="M2483" s="390">
        <v>45863.752152777779</v>
      </c>
      <c r="N2483" s="366" t="s">
        <v>356</v>
      </c>
      <c r="O2483" s="367" t="s">
        <v>357</v>
      </c>
      <c r="P2483" s="368" t="str">
        <f>IF(J2483&gt;0,"Revenue",IF(J2483&lt;0,"Expense"))</f>
        <v>Revenue</v>
      </c>
      <c r="Q2483" s="366" t="s">
        <v>2157</v>
      </c>
      <c r="R2483" s="366" t="s">
        <v>2857</v>
      </c>
      <c r="S2483" s="366" t="s">
        <v>2278</v>
      </c>
    </row>
    <row r="2484" spans="1:19" ht="12.75" customHeight="1" collapsed="1">
      <c r="I2484" s="368"/>
      <c r="J2484" s="413">
        <f>SUM(J2483)</f>
        <v>1942125.59</v>
      </c>
      <c r="P2484" s="368"/>
    </row>
    <row r="2485" spans="1:19" ht="12.75" customHeight="1">
      <c r="I2485" s="368"/>
      <c r="P2485" s="368"/>
    </row>
    <row r="2486" spans="1:19" ht="12.75" customHeight="1">
      <c r="A2486" s="378" t="s">
        <v>4048</v>
      </c>
      <c r="I2486" s="368"/>
      <c r="P2486" s="368"/>
    </row>
    <row r="2487" spans="1:19" ht="30" hidden="1" outlineLevel="1">
      <c r="B2487" s="384">
        <v>2026</v>
      </c>
      <c r="C2487" s="384">
        <v>1</v>
      </c>
      <c r="D2487" s="367" t="s">
        <v>5</v>
      </c>
      <c r="E2487" s="367" t="s">
        <v>6</v>
      </c>
      <c r="F2487" s="389" t="s">
        <v>4049</v>
      </c>
      <c r="G2487" s="385">
        <v>45868</v>
      </c>
      <c r="H2487" s="367" t="s">
        <v>14</v>
      </c>
      <c r="I2487" s="368" t="str">
        <f>VLOOKUP(H2487,'Source Codes'!A$2:B$115,2,FALSE)</f>
        <v>AP Warrant Issuance</v>
      </c>
      <c r="J2487" s="422">
        <v>-9071839.6500000004</v>
      </c>
      <c r="K2487" s="385">
        <v>45866</v>
      </c>
      <c r="L2487" s="369" t="s">
        <v>4051</v>
      </c>
      <c r="M2487" s="390">
        <v>45866.758263888885</v>
      </c>
      <c r="N2487" s="366" t="s">
        <v>356</v>
      </c>
      <c r="O2487" s="367" t="s">
        <v>368</v>
      </c>
      <c r="P2487" s="368" t="str">
        <f t="shared" ref="P2487:P2495" si="41">IF(J2487&gt;0,"Revenue",IF(J2487&lt;0,"Expense"))</f>
        <v>Expense</v>
      </c>
      <c r="Q2487" s="366" t="s">
        <v>2154</v>
      </c>
      <c r="R2487" s="366" t="s">
        <v>2154</v>
      </c>
      <c r="S2487" s="366" t="s">
        <v>203</v>
      </c>
    </row>
    <row r="2488" spans="1:19" ht="60" hidden="1" outlineLevel="1">
      <c r="B2488" s="384">
        <v>2026</v>
      </c>
      <c r="C2488" s="384">
        <v>1</v>
      </c>
      <c r="D2488" s="367" t="s">
        <v>5</v>
      </c>
      <c r="E2488" s="367" t="s">
        <v>6</v>
      </c>
      <c r="F2488" s="389" t="s">
        <v>4050</v>
      </c>
      <c r="G2488" s="385">
        <v>45866</v>
      </c>
      <c r="H2488" s="367" t="s">
        <v>14</v>
      </c>
      <c r="I2488" s="368" t="str">
        <f>VLOOKUP(H2488,'Source Codes'!A$2:B$115,2,FALSE)</f>
        <v>AP Warrant Issuance</v>
      </c>
      <c r="J2488" s="422">
        <v>-1979006.82</v>
      </c>
      <c r="K2488" s="385">
        <v>45866</v>
      </c>
      <c r="L2488" s="369" t="s">
        <v>4056</v>
      </c>
      <c r="M2488" s="390">
        <v>45866.758263888885</v>
      </c>
      <c r="N2488" s="366" t="s">
        <v>4052</v>
      </c>
      <c r="O2488" s="367" t="s">
        <v>370</v>
      </c>
      <c r="P2488" s="368" t="str">
        <f t="shared" si="41"/>
        <v>Expense</v>
      </c>
      <c r="Q2488" s="366" t="s">
        <v>2212</v>
      </c>
      <c r="R2488" s="366" t="s">
        <v>2213</v>
      </c>
      <c r="S2488" s="366">
        <v>528000</v>
      </c>
    </row>
    <row r="2489" spans="1:19" ht="30" hidden="1" outlineLevel="1">
      <c r="B2489" s="384">
        <v>2026</v>
      </c>
      <c r="C2489" s="384">
        <v>1</v>
      </c>
      <c r="D2489" s="367" t="s">
        <v>5</v>
      </c>
      <c r="E2489" s="367" t="s">
        <v>6</v>
      </c>
      <c r="F2489" s="389" t="s">
        <v>4053</v>
      </c>
      <c r="G2489" s="385">
        <v>45863</v>
      </c>
      <c r="H2489" s="367" t="s">
        <v>12</v>
      </c>
      <c r="I2489" s="368" t="str">
        <f>VLOOKUP(H2489,'Source Codes'!A$2:B$115,2,FALSE)</f>
        <v>AR Direct Cash Journal</v>
      </c>
      <c r="J2489" s="422">
        <v>4604075.1500000004</v>
      </c>
      <c r="K2489" s="385">
        <v>45866</v>
      </c>
      <c r="L2489" s="369" t="s">
        <v>4058</v>
      </c>
      <c r="M2489" s="390">
        <v>45866.752291666664</v>
      </c>
      <c r="N2489" s="366" t="s">
        <v>356</v>
      </c>
      <c r="O2489" s="367" t="s">
        <v>371</v>
      </c>
      <c r="P2489" s="368" t="str">
        <f t="shared" si="41"/>
        <v>Revenue</v>
      </c>
      <c r="Q2489" s="366" t="s">
        <v>2346</v>
      </c>
      <c r="R2489" s="365" t="s">
        <v>4059</v>
      </c>
      <c r="S2489" s="366" t="s">
        <v>4057</v>
      </c>
    </row>
    <row r="2490" spans="1:19" ht="60" hidden="1" outlineLevel="1">
      <c r="B2490" s="384">
        <v>2026</v>
      </c>
      <c r="C2490" s="384">
        <v>1</v>
      </c>
      <c r="D2490" s="367" t="s">
        <v>5</v>
      </c>
      <c r="E2490" s="367" t="s">
        <v>6</v>
      </c>
      <c r="F2490" s="389" t="s">
        <v>4054</v>
      </c>
      <c r="G2490" s="385">
        <v>45863</v>
      </c>
      <c r="H2490" s="367" t="s">
        <v>11</v>
      </c>
      <c r="I2490" s="368" t="str">
        <f>VLOOKUP(H2490,'Source Codes'!A$2:B$115,2,FALSE)</f>
        <v>AR Payments</v>
      </c>
      <c r="J2490" s="422">
        <v>3374883.5</v>
      </c>
      <c r="K2490" s="385">
        <v>45866</v>
      </c>
      <c r="L2490" s="369" t="s">
        <v>4060</v>
      </c>
      <c r="M2490" s="390">
        <v>45866.752291666664</v>
      </c>
      <c r="N2490" s="366" t="s">
        <v>356</v>
      </c>
      <c r="O2490" s="367" t="s">
        <v>357</v>
      </c>
      <c r="P2490" s="368" t="str">
        <f t="shared" si="41"/>
        <v>Revenue</v>
      </c>
      <c r="Q2490" s="366" t="s">
        <v>2157</v>
      </c>
      <c r="R2490" s="366" t="s">
        <v>2857</v>
      </c>
      <c r="S2490" s="366" t="s">
        <v>2278</v>
      </c>
    </row>
    <row r="2491" spans="1:19" ht="90" hidden="1" outlineLevel="1">
      <c r="B2491" s="384">
        <v>2026</v>
      </c>
      <c r="C2491" s="384">
        <v>1</v>
      </c>
      <c r="D2491" s="367" t="s">
        <v>5</v>
      </c>
      <c r="E2491" s="367" t="s">
        <v>6</v>
      </c>
      <c r="F2491" s="389" t="s">
        <v>4055</v>
      </c>
      <c r="G2491" s="385">
        <v>45866</v>
      </c>
      <c r="H2491" s="367" t="s">
        <v>11</v>
      </c>
      <c r="I2491" s="368" t="str">
        <f>VLOOKUP(H2491,'Source Codes'!A$2:B$115,2,FALSE)</f>
        <v>AR Payments</v>
      </c>
      <c r="J2491" s="422">
        <v>1595827.63</v>
      </c>
      <c r="K2491" s="385">
        <v>45866</v>
      </c>
      <c r="L2491" s="369" t="s">
        <v>4061</v>
      </c>
      <c r="M2491" s="390">
        <v>45866.752291666664</v>
      </c>
      <c r="N2491" s="366" t="s">
        <v>356</v>
      </c>
      <c r="O2491" s="367" t="s">
        <v>357</v>
      </c>
      <c r="P2491" s="368" t="str">
        <f t="shared" si="41"/>
        <v>Revenue</v>
      </c>
      <c r="Q2491" s="366" t="s">
        <v>2157</v>
      </c>
      <c r="R2491" s="366" t="s">
        <v>2857</v>
      </c>
      <c r="S2491" s="366" t="s">
        <v>3159</v>
      </c>
    </row>
    <row r="2492" spans="1:19" ht="15" hidden="1" outlineLevel="1">
      <c r="B2492" s="384">
        <v>2026</v>
      </c>
      <c r="C2492" s="384">
        <v>1</v>
      </c>
      <c r="D2492" s="367" t="s">
        <v>5</v>
      </c>
      <c r="E2492" s="367" t="s">
        <v>6</v>
      </c>
      <c r="F2492" s="389" t="s">
        <v>4062</v>
      </c>
      <c r="G2492" s="385">
        <v>45861</v>
      </c>
      <c r="H2492" s="367" t="s">
        <v>337</v>
      </c>
      <c r="I2492" s="368" t="str">
        <f>VLOOKUP(H2492,'Source Codes'!A$2:B$115,2,FALSE)</f>
        <v>Facilities Mngmnt Intfc Jrnls</v>
      </c>
      <c r="J2492" s="422">
        <v>-1175593.8600000001</v>
      </c>
      <c r="K2492" s="385">
        <v>45866</v>
      </c>
      <c r="L2492" s="369" t="s">
        <v>4066</v>
      </c>
      <c r="M2492" s="390">
        <v>45866.870243055557</v>
      </c>
      <c r="N2492" s="366" t="s">
        <v>356</v>
      </c>
      <c r="O2492" s="367" t="s">
        <v>367</v>
      </c>
      <c r="P2492" s="368" t="str">
        <f t="shared" si="41"/>
        <v>Expense</v>
      </c>
      <c r="Q2492" s="366" t="s">
        <v>2337</v>
      </c>
      <c r="R2492" s="365" t="s">
        <v>4070</v>
      </c>
      <c r="S2492" s="366">
        <v>522365</v>
      </c>
    </row>
    <row r="2493" spans="1:19" ht="45" hidden="1" outlineLevel="1">
      <c r="B2493" s="384">
        <v>2025</v>
      </c>
      <c r="C2493" s="384">
        <v>12</v>
      </c>
      <c r="D2493" s="367" t="s">
        <v>5</v>
      </c>
      <c r="E2493" s="367" t="s">
        <v>6</v>
      </c>
      <c r="F2493" s="389" t="s">
        <v>4063</v>
      </c>
      <c r="G2493" s="385">
        <v>45838</v>
      </c>
      <c r="H2493" s="367" t="s">
        <v>9</v>
      </c>
      <c r="I2493" s="368" t="str">
        <f>VLOOKUP(H2493,'Source Codes'!A$2:B$115,2,FALSE)</f>
        <v>On Line Journal Entries</v>
      </c>
      <c r="J2493" s="422">
        <v>-1420139.5</v>
      </c>
      <c r="K2493" s="385">
        <v>45866</v>
      </c>
      <c r="L2493" s="369" t="s">
        <v>4069</v>
      </c>
      <c r="M2493" s="390">
        <v>45866.870196759257</v>
      </c>
      <c r="N2493" s="366" t="s">
        <v>387</v>
      </c>
      <c r="O2493" s="367" t="s">
        <v>358</v>
      </c>
      <c r="P2493" s="368" t="str">
        <f t="shared" si="41"/>
        <v>Expense</v>
      </c>
      <c r="Q2493" s="366" t="s">
        <v>4072</v>
      </c>
      <c r="R2493" s="366" t="s">
        <v>4072</v>
      </c>
      <c r="S2493" s="366">
        <v>551100</v>
      </c>
    </row>
    <row r="2494" spans="1:19" ht="15" hidden="1" outlineLevel="1">
      <c r="B2494" s="384">
        <v>2026</v>
      </c>
      <c r="C2494" s="384">
        <v>1</v>
      </c>
      <c r="D2494" s="367" t="s">
        <v>5</v>
      </c>
      <c r="E2494" s="367" t="s">
        <v>6</v>
      </c>
      <c r="F2494" s="389" t="s">
        <v>4064</v>
      </c>
      <c r="G2494" s="385">
        <v>45856</v>
      </c>
      <c r="H2494" s="367" t="s">
        <v>9</v>
      </c>
      <c r="I2494" s="368" t="str">
        <f>VLOOKUP(H2494,'Source Codes'!A$2:B$115,2,FALSE)</f>
        <v>On Line Journal Entries</v>
      </c>
      <c r="J2494" s="422">
        <v>-1542083</v>
      </c>
      <c r="K2494" s="385">
        <v>45866</v>
      </c>
      <c r="L2494" s="369" t="s">
        <v>4067</v>
      </c>
      <c r="M2494" s="390">
        <v>45866.870196759257</v>
      </c>
      <c r="N2494" s="366" t="s">
        <v>356</v>
      </c>
      <c r="O2494" s="367" t="s">
        <v>368</v>
      </c>
      <c r="P2494" s="368" t="str">
        <f t="shared" si="41"/>
        <v>Expense</v>
      </c>
      <c r="Q2494" s="366" t="s">
        <v>2219</v>
      </c>
      <c r="R2494" s="365" t="s">
        <v>4059</v>
      </c>
      <c r="S2494" s="366">
        <v>530280</v>
      </c>
    </row>
    <row r="2495" spans="1:19" ht="15" hidden="1" outlineLevel="1">
      <c r="B2495" s="384">
        <v>2026</v>
      </c>
      <c r="C2495" s="384">
        <v>1</v>
      </c>
      <c r="D2495" s="367" t="s">
        <v>5</v>
      </c>
      <c r="E2495" s="367" t="s">
        <v>6</v>
      </c>
      <c r="F2495" s="389" t="s">
        <v>4065</v>
      </c>
      <c r="G2495" s="385">
        <v>45861</v>
      </c>
      <c r="H2495" s="367" t="s">
        <v>337</v>
      </c>
      <c r="I2495" s="368" t="str">
        <f>VLOOKUP(H2495,'Source Codes'!A$2:B$115,2,FALSE)</f>
        <v>Facilities Mngmnt Intfc Jrnls</v>
      </c>
      <c r="J2495" s="422">
        <v>-2721515.43</v>
      </c>
      <c r="K2495" s="385">
        <v>45866</v>
      </c>
      <c r="L2495" s="369" t="s">
        <v>4068</v>
      </c>
      <c r="M2495" s="390">
        <v>45866.870243055557</v>
      </c>
      <c r="N2495" s="366" t="s">
        <v>356</v>
      </c>
      <c r="O2495" s="367" t="s">
        <v>367</v>
      </c>
      <c r="P2495" s="368" t="str">
        <f t="shared" si="41"/>
        <v>Expense</v>
      </c>
      <c r="Q2495" s="366" t="s">
        <v>2337</v>
      </c>
      <c r="R2495" s="366" t="s">
        <v>4071</v>
      </c>
      <c r="S2495" s="366">
        <v>522385</v>
      </c>
    </row>
    <row r="2496" spans="1:19" ht="12.75" customHeight="1" collapsed="1">
      <c r="I2496" s="368"/>
      <c r="J2496" s="413">
        <f>SUM(J2487:J2495)</f>
        <v>-8335391.9800000004</v>
      </c>
      <c r="P2496" s="368"/>
    </row>
    <row r="2497" spans="1:19" ht="12.75" customHeight="1">
      <c r="I2497" s="368"/>
      <c r="P2497" s="368"/>
    </row>
    <row r="2498" spans="1:19" ht="12.75" customHeight="1">
      <c r="A2498" s="378" t="s">
        <v>4073</v>
      </c>
      <c r="I2498" s="368"/>
      <c r="P2498" s="368"/>
    </row>
    <row r="2499" spans="1:19" ht="30" hidden="1" outlineLevel="1">
      <c r="B2499" s="384">
        <v>2026</v>
      </c>
      <c r="C2499" s="384">
        <v>1</v>
      </c>
      <c r="D2499" s="367" t="s">
        <v>5</v>
      </c>
      <c r="E2499" s="367" t="s">
        <v>6</v>
      </c>
      <c r="F2499" s="389" t="s">
        <v>4074</v>
      </c>
      <c r="G2499" s="385">
        <v>45869</v>
      </c>
      <c r="H2499" s="367" t="s">
        <v>14</v>
      </c>
      <c r="I2499" s="368" t="str">
        <f>VLOOKUP(H2499,'Source Codes'!A$2:B$115,2,FALSE)</f>
        <v>AP Warrant Issuance</v>
      </c>
      <c r="J2499" s="422">
        <v>-1811143.46</v>
      </c>
      <c r="K2499" s="385">
        <v>45867</v>
      </c>
      <c r="L2499" s="369" t="s">
        <v>4082</v>
      </c>
      <c r="M2499" s="390">
        <v>45867.757592592592</v>
      </c>
      <c r="N2499" s="366" t="s">
        <v>356</v>
      </c>
      <c r="O2499" s="367" t="s">
        <v>368</v>
      </c>
      <c r="P2499" s="368" t="str">
        <f>IF(J2499&gt;0,"Revenue",IF(J2499&lt;0,"Expense"))</f>
        <v>Expense</v>
      </c>
      <c r="Q2499" s="366" t="s">
        <v>2154</v>
      </c>
      <c r="R2499" s="366" t="s">
        <v>2154</v>
      </c>
      <c r="S2499" s="366" t="s">
        <v>4075</v>
      </c>
    </row>
    <row r="2500" spans="1:19" ht="60" hidden="1" outlineLevel="1">
      <c r="B2500" s="384">
        <v>2026</v>
      </c>
      <c r="C2500" s="384">
        <v>1</v>
      </c>
      <c r="D2500" s="367" t="s">
        <v>5</v>
      </c>
      <c r="E2500" s="367" t="s">
        <v>6</v>
      </c>
      <c r="F2500" s="389" t="s">
        <v>4076</v>
      </c>
      <c r="G2500" s="385">
        <v>45863</v>
      </c>
      <c r="H2500" s="367" t="s">
        <v>11</v>
      </c>
      <c r="I2500" s="368" t="str">
        <f>VLOOKUP(H2500,'Source Codes'!A$2:B$115,2,FALSE)</f>
        <v>AR Payments</v>
      </c>
      <c r="J2500" s="422">
        <v>1063515.52</v>
      </c>
      <c r="K2500" s="385">
        <v>45867</v>
      </c>
      <c r="L2500" s="369" t="s">
        <v>4077</v>
      </c>
      <c r="M2500" s="390">
        <v>45867.752372685187</v>
      </c>
      <c r="N2500" s="366" t="s">
        <v>356</v>
      </c>
      <c r="O2500" s="367" t="s">
        <v>357</v>
      </c>
      <c r="P2500" s="368" t="str">
        <f>IF(J2500&gt;0,"Revenue",IF(J2500&lt;0,"Expense"))</f>
        <v>Revenue</v>
      </c>
      <c r="Q2500" s="366" t="s">
        <v>2157</v>
      </c>
      <c r="R2500" s="366" t="s">
        <v>2857</v>
      </c>
      <c r="S2500" s="366" t="s">
        <v>2531</v>
      </c>
    </row>
    <row r="2501" spans="1:19" ht="15" hidden="1" outlineLevel="1">
      <c r="B2501" s="384">
        <v>2026</v>
      </c>
      <c r="C2501" s="384">
        <v>1</v>
      </c>
      <c r="D2501" s="367" t="s">
        <v>5</v>
      </c>
      <c r="E2501" s="367" t="s">
        <v>6</v>
      </c>
      <c r="F2501" s="389" t="s">
        <v>4078</v>
      </c>
      <c r="G2501" s="385">
        <v>45862</v>
      </c>
      <c r="H2501" s="367" t="s">
        <v>7</v>
      </c>
      <c r="I2501" s="368" t="str">
        <f>VLOOKUP(H2501,'Source Codes'!A$2:B$115,2,FALSE)</f>
        <v>HRMS Interface Journals</v>
      </c>
      <c r="J2501" s="422">
        <v>-1097929.49</v>
      </c>
      <c r="K2501" s="385">
        <v>45867</v>
      </c>
      <c r="L2501" s="369" t="s">
        <v>406</v>
      </c>
      <c r="M2501" s="390">
        <v>45867.433831018519</v>
      </c>
      <c r="N2501" s="366" t="s">
        <v>378</v>
      </c>
      <c r="O2501" s="367" t="s">
        <v>371</v>
      </c>
      <c r="P2501" s="368" t="str">
        <f>IF(J2501&gt;0,"Revenue",IF(J2501&lt;0,"Expense"))</f>
        <v>Expense</v>
      </c>
      <c r="Q2501" s="366" t="s">
        <v>379</v>
      </c>
      <c r="R2501" s="366" t="s">
        <v>4081</v>
      </c>
      <c r="S2501" s="366">
        <v>202100</v>
      </c>
    </row>
    <row r="2502" spans="1:19" ht="15" hidden="1" outlineLevel="1">
      <c r="B2502" s="384">
        <v>2026</v>
      </c>
      <c r="C2502" s="384">
        <v>1</v>
      </c>
      <c r="D2502" s="367" t="s">
        <v>5</v>
      </c>
      <c r="E2502" s="367" t="s">
        <v>6</v>
      </c>
      <c r="F2502" s="389" t="s">
        <v>4079</v>
      </c>
      <c r="G2502" s="385">
        <v>45861</v>
      </c>
      <c r="H2502" s="367" t="s">
        <v>7</v>
      </c>
      <c r="I2502" s="368" t="str">
        <f>VLOOKUP(H2502,'Source Codes'!A$2:B$115,2,FALSE)</f>
        <v>HRMS Interface Journals</v>
      </c>
      <c r="J2502" s="422">
        <v>-2799453.91</v>
      </c>
      <c r="K2502" s="385">
        <v>45867</v>
      </c>
      <c r="L2502" s="369" t="s">
        <v>407</v>
      </c>
      <c r="M2502" s="390">
        <v>45867.334155092591</v>
      </c>
      <c r="N2502" s="366" t="s">
        <v>378</v>
      </c>
      <c r="O2502" s="367" t="s">
        <v>379</v>
      </c>
      <c r="P2502" s="368" t="str">
        <f>IF(J2502&gt;0,"Revenue",IF(J2502&lt;0,"Expense"))</f>
        <v>Expense</v>
      </c>
      <c r="Q2502" s="366" t="s">
        <v>379</v>
      </c>
      <c r="R2502" s="366" t="s">
        <v>4081</v>
      </c>
      <c r="S2502" s="366" t="s">
        <v>3927</v>
      </c>
    </row>
    <row r="2503" spans="1:19" ht="15" hidden="1" outlineLevel="1">
      <c r="B2503" s="384">
        <v>2026</v>
      </c>
      <c r="C2503" s="384">
        <v>1</v>
      </c>
      <c r="D2503" s="367" t="s">
        <v>5</v>
      </c>
      <c r="E2503" s="367" t="s">
        <v>6</v>
      </c>
      <c r="F2503" s="389" t="s">
        <v>4080</v>
      </c>
      <c r="G2503" s="385">
        <v>45861</v>
      </c>
      <c r="H2503" s="367" t="s">
        <v>7</v>
      </c>
      <c r="I2503" s="368" t="str">
        <f>VLOOKUP(H2503,'Source Codes'!A$2:B$115,2,FALSE)</f>
        <v>HRMS Interface Journals</v>
      </c>
      <c r="J2503" s="422">
        <v>-20964391.98</v>
      </c>
      <c r="K2503" s="385">
        <v>45867</v>
      </c>
      <c r="L2503" s="369" t="s">
        <v>406</v>
      </c>
      <c r="M2503" s="390">
        <v>45867.338993055557</v>
      </c>
      <c r="N2503" s="366" t="s">
        <v>378</v>
      </c>
      <c r="O2503" s="367" t="s">
        <v>371</v>
      </c>
      <c r="P2503" s="368" t="str">
        <f>IF(J2503&gt;0,"Revenue",IF(J2503&lt;0,"Expense"))</f>
        <v>Expense</v>
      </c>
      <c r="Q2503" s="366" t="s">
        <v>379</v>
      </c>
      <c r="R2503" s="366" t="s">
        <v>4081</v>
      </c>
      <c r="S2503" s="366" t="s">
        <v>3927</v>
      </c>
    </row>
    <row r="2504" spans="1:19" ht="12.75" customHeight="1" collapsed="1">
      <c r="I2504" s="368"/>
      <c r="J2504" s="413">
        <f>SUM(J2499:J2503)</f>
        <v>-25609403.32</v>
      </c>
      <c r="P2504" s="368"/>
    </row>
    <row r="2505" spans="1:19" ht="12.75" customHeight="1">
      <c r="I2505" s="368"/>
      <c r="P2505" s="368"/>
    </row>
    <row r="2506" spans="1:19" ht="12.75" customHeight="1">
      <c r="A2506" s="378" t="s">
        <v>4083</v>
      </c>
      <c r="I2506" s="368"/>
      <c r="P2506" s="368"/>
    </row>
    <row r="2507" spans="1:19" ht="30" hidden="1" outlineLevel="1">
      <c r="B2507" s="384">
        <v>2026</v>
      </c>
      <c r="C2507" s="384">
        <v>1</v>
      </c>
      <c r="D2507" s="367" t="s">
        <v>5</v>
      </c>
      <c r="E2507" s="367" t="s">
        <v>6</v>
      </c>
      <c r="F2507" s="389" t="s">
        <v>4084</v>
      </c>
      <c r="G2507" s="385">
        <v>45868</v>
      </c>
      <c r="H2507" s="367" t="s">
        <v>14</v>
      </c>
      <c r="I2507" s="368" t="str">
        <f>VLOOKUP(H2507,'Source Codes'!A$2:B$115,2,FALSE)</f>
        <v>AP Warrant Issuance</v>
      </c>
      <c r="J2507" s="422">
        <v>-3734041.81</v>
      </c>
      <c r="K2507" s="385">
        <v>45868</v>
      </c>
      <c r="L2507" s="369" t="s">
        <v>4085</v>
      </c>
      <c r="M2507" s="390">
        <v>45868.757523148146</v>
      </c>
      <c r="N2507" s="366" t="s">
        <v>356</v>
      </c>
      <c r="O2507" s="367" t="s">
        <v>368</v>
      </c>
      <c r="P2507" s="368" t="str">
        <f>IF(J2507&gt;0,"Revenue",IF(J2507&lt;0,"Expense"))</f>
        <v>Expense</v>
      </c>
      <c r="Q2507" s="366" t="s">
        <v>2154</v>
      </c>
      <c r="R2507" s="366" t="s">
        <v>2154</v>
      </c>
      <c r="S2507" s="366" t="s">
        <v>203</v>
      </c>
    </row>
    <row r="2508" spans="1:19" ht="60" hidden="1" outlineLevel="1">
      <c r="B2508" s="384">
        <v>2026</v>
      </c>
      <c r="C2508" s="384">
        <v>1</v>
      </c>
      <c r="D2508" s="367" t="s">
        <v>5</v>
      </c>
      <c r="E2508" s="367" t="s">
        <v>6</v>
      </c>
      <c r="F2508" s="389" t="s">
        <v>4086</v>
      </c>
      <c r="G2508" s="385">
        <v>45866</v>
      </c>
      <c r="H2508" s="367" t="s">
        <v>12</v>
      </c>
      <c r="I2508" s="368" t="str">
        <f>VLOOKUP(H2508,'Source Codes'!A$2:B$115,2,FALSE)</f>
        <v>AR Direct Cash Journal</v>
      </c>
      <c r="J2508" s="422">
        <v>-282684848.45999998</v>
      </c>
      <c r="K2508" s="385">
        <v>45868</v>
      </c>
      <c r="L2508" s="369" t="s">
        <v>4093</v>
      </c>
      <c r="M2508" s="390">
        <v>45868.752650462964</v>
      </c>
      <c r="N2508" s="366" t="s">
        <v>387</v>
      </c>
      <c r="O2508" s="367" t="s">
        <v>358</v>
      </c>
      <c r="P2508" s="368" t="str">
        <f>IF(J2508&gt;0,"Revenue",IF(J2508&lt;0,"Expense"))</f>
        <v>Expense</v>
      </c>
      <c r="Q2508" s="366" t="s">
        <v>4088</v>
      </c>
      <c r="R2508" s="366" t="s">
        <v>4088</v>
      </c>
      <c r="S2508" s="366">
        <v>140200</v>
      </c>
    </row>
    <row r="2509" spans="1:19" ht="30" hidden="1" outlineLevel="1">
      <c r="B2509" s="384">
        <v>2026</v>
      </c>
      <c r="C2509" s="384">
        <v>1</v>
      </c>
      <c r="D2509" s="367" t="s">
        <v>5</v>
      </c>
      <c r="E2509" s="367" t="s">
        <v>6</v>
      </c>
      <c r="F2509" s="389" t="s">
        <v>4087</v>
      </c>
      <c r="G2509" s="385">
        <v>45861</v>
      </c>
      <c r="H2509" s="367" t="s">
        <v>12</v>
      </c>
      <c r="I2509" s="368" t="str">
        <f>VLOOKUP(H2509,'Source Codes'!A$2:B$115,2,FALSE)</f>
        <v>AR Direct Cash Journal</v>
      </c>
      <c r="J2509" s="422">
        <v>1578785.74</v>
      </c>
      <c r="K2509" s="385">
        <v>45868</v>
      </c>
      <c r="L2509" s="369" t="s">
        <v>4816</v>
      </c>
      <c r="M2509" s="390">
        <v>45868.752650462964</v>
      </c>
      <c r="N2509" s="366" t="s">
        <v>356</v>
      </c>
      <c r="O2509" s="367" t="s">
        <v>2631</v>
      </c>
      <c r="P2509" s="368" t="str">
        <f>IF(J2509&gt;0,"Revenue",IF(J2509&lt;0,"Expense"))</f>
        <v>Revenue</v>
      </c>
      <c r="Q2509" s="366" t="s">
        <v>2632</v>
      </c>
      <c r="R2509" s="365" t="s">
        <v>2632</v>
      </c>
      <c r="S2509" s="366" t="s">
        <v>203</v>
      </c>
    </row>
    <row r="2510" spans="1:19" ht="45" hidden="1" outlineLevel="1">
      <c r="B2510" s="384">
        <v>2025</v>
      </c>
      <c r="C2510" s="384">
        <v>12</v>
      </c>
      <c r="D2510" s="367" t="s">
        <v>5</v>
      </c>
      <c r="E2510" s="367" t="s">
        <v>6</v>
      </c>
      <c r="F2510" s="389" t="s">
        <v>4089</v>
      </c>
      <c r="G2510" s="385">
        <v>45838</v>
      </c>
      <c r="H2510" s="367" t="s">
        <v>9</v>
      </c>
      <c r="I2510" s="368" t="str">
        <f>VLOOKUP(H2510,'Source Codes'!A$2:B$115,2,FALSE)</f>
        <v>On Line Journal Entries</v>
      </c>
      <c r="J2510" s="422">
        <v>55357814.240000002</v>
      </c>
      <c r="K2510" s="385">
        <v>45868</v>
      </c>
      <c r="L2510" s="369" t="s">
        <v>396</v>
      </c>
      <c r="M2510" s="390">
        <v>45868.870358796295</v>
      </c>
      <c r="N2510" s="366" t="s">
        <v>356</v>
      </c>
      <c r="O2510" s="367" t="s">
        <v>364</v>
      </c>
      <c r="P2510" s="368" t="str">
        <f>IF(J2510&gt;0,"Revenue",IF(J2510&lt;0,"Expense"))</f>
        <v>Revenue</v>
      </c>
      <c r="Q2510" s="366" t="s">
        <v>2232</v>
      </c>
      <c r="R2510" s="365" t="s">
        <v>2232</v>
      </c>
      <c r="S2510" s="366" t="s">
        <v>4091</v>
      </c>
    </row>
    <row r="2511" spans="1:19" ht="15" hidden="1" outlineLevel="1">
      <c r="B2511" s="384">
        <v>2025</v>
      </c>
      <c r="C2511" s="384">
        <v>12</v>
      </c>
      <c r="D2511" s="367" t="s">
        <v>5</v>
      </c>
      <c r="E2511" s="367" t="s">
        <v>6</v>
      </c>
      <c r="F2511" s="389" t="s">
        <v>4090</v>
      </c>
      <c r="G2511" s="385">
        <v>45838</v>
      </c>
      <c r="H2511" s="367" t="s">
        <v>9</v>
      </c>
      <c r="I2511" s="368" t="str">
        <f>VLOOKUP(H2511,'Source Codes'!A$2:B$115,2,FALSE)</f>
        <v>On Line Journal Entries</v>
      </c>
      <c r="J2511" s="422">
        <v>43254007</v>
      </c>
      <c r="K2511" s="385">
        <v>45868</v>
      </c>
      <c r="L2511" s="369" t="s">
        <v>4092</v>
      </c>
      <c r="M2511" s="390">
        <v>45868.631435185183</v>
      </c>
      <c r="N2511" s="366" t="s">
        <v>361</v>
      </c>
      <c r="O2511" s="367" t="s">
        <v>368</v>
      </c>
      <c r="P2511" s="368" t="str">
        <f>IF(J2511&gt;0,"Revenue",IF(J2511&lt;0,"Expense"))</f>
        <v>Revenue</v>
      </c>
      <c r="Q2511" s="366" t="s">
        <v>2662</v>
      </c>
      <c r="R2511" s="366" t="s">
        <v>2639</v>
      </c>
      <c r="S2511" s="366">
        <v>751040</v>
      </c>
    </row>
    <row r="2512" spans="1:19" ht="12.75" customHeight="1" collapsed="1">
      <c r="J2512" s="413">
        <f>SUM(J2507:J2511)</f>
        <v>-186228283.28999996</v>
      </c>
    </row>
    <row r="2514" spans="1:19" ht="12.75" customHeight="1">
      <c r="A2514" s="378" t="s">
        <v>4096</v>
      </c>
    </row>
    <row r="2515" spans="1:19" ht="45" hidden="1" outlineLevel="1">
      <c r="B2515" s="384">
        <v>2026</v>
      </c>
      <c r="C2515" s="384">
        <v>1</v>
      </c>
      <c r="D2515" s="367" t="s">
        <v>5</v>
      </c>
      <c r="E2515" s="367" t="s">
        <v>6</v>
      </c>
      <c r="F2515" s="389" t="s">
        <v>4097</v>
      </c>
      <c r="G2515" s="385">
        <v>45869</v>
      </c>
      <c r="H2515" s="367" t="s">
        <v>12</v>
      </c>
      <c r="I2515" s="368" t="str">
        <f>VLOOKUP(H2515,'Source Codes'!A$2:B$115,2,FALSE)</f>
        <v>AR Direct Cash Journal</v>
      </c>
      <c r="J2515" s="422">
        <v>1812902.09</v>
      </c>
      <c r="K2515" s="385">
        <v>45869</v>
      </c>
      <c r="L2515" s="369" t="s">
        <v>4105</v>
      </c>
      <c r="M2515" s="390">
        <v>45869.752789351849</v>
      </c>
      <c r="N2515" s="366" t="s">
        <v>356</v>
      </c>
      <c r="O2515" s="367" t="s">
        <v>370</v>
      </c>
      <c r="P2515" s="368" t="str">
        <f t="shared" ref="P2515:P2521" si="42">IF(J2515&gt;0,"Revenue",IF(J2515&lt;0,"Expense"))</f>
        <v>Revenue</v>
      </c>
      <c r="Q2515" s="366" t="s">
        <v>2264</v>
      </c>
      <c r="R2515" s="366" t="s">
        <v>2265</v>
      </c>
      <c r="S2515" s="366" t="s">
        <v>203</v>
      </c>
    </row>
    <row r="2516" spans="1:19" ht="45" hidden="1" outlineLevel="1">
      <c r="B2516" s="384">
        <v>2026</v>
      </c>
      <c r="C2516" s="384">
        <v>1</v>
      </c>
      <c r="D2516" s="367" t="s">
        <v>5</v>
      </c>
      <c r="E2516" s="367" t="s">
        <v>6</v>
      </c>
      <c r="F2516" s="389" t="s">
        <v>4098</v>
      </c>
      <c r="G2516" s="385">
        <v>45862</v>
      </c>
      <c r="H2516" s="367" t="s">
        <v>12</v>
      </c>
      <c r="I2516" s="368" t="str">
        <f>VLOOKUP(H2516,'Source Codes'!A$2:B$115,2,FALSE)</f>
        <v>AR Direct Cash Journal</v>
      </c>
      <c r="J2516" s="422">
        <v>5934813.3499999996</v>
      </c>
      <c r="K2516" s="385">
        <v>45869</v>
      </c>
      <c r="L2516" s="369" t="s">
        <v>4106</v>
      </c>
      <c r="M2516" s="390">
        <v>45869.752789351849</v>
      </c>
      <c r="N2516" s="366" t="s">
        <v>356</v>
      </c>
      <c r="O2516" s="367" t="s">
        <v>371</v>
      </c>
      <c r="P2516" s="368" t="str">
        <f t="shared" si="42"/>
        <v>Revenue</v>
      </c>
      <c r="Q2516" s="366" t="s">
        <v>2316</v>
      </c>
      <c r="R2516" s="366" t="s">
        <v>3425</v>
      </c>
      <c r="S2516" s="366">
        <v>710020</v>
      </c>
    </row>
    <row r="2517" spans="1:19" ht="30" hidden="1" outlineLevel="1">
      <c r="B2517" s="384">
        <v>2026</v>
      </c>
      <c r="C2517" s="384">
        <v>1</v>
      </c>
      <c r="D2517" s="367" t="s">
        <v>5</v>
      </c>
      <c r="E2517" s="367" t="s">
        <v>6</v>
      </c>
      <c r="F2517" s="389" t="s">
        <v>4099</v>
      </c>
      <c r="G2517" s="385">
        <v>45867</v>
      </c>
      <c r="H2517" s="367" t="s">
        <v>11</v>
      </c>
      <c r="I2517" s="368" t="str">
        <f>VLOOKUP(H2517,'Source Codes'!A$2:B$115,2,FALSE)</f>
        <v>AR Payments</v>
      </c>
      <c r="J2517" s="422">
        <v>1208831.94</v>
      </c>
      <c r="K2517" s="385">
        <v>45869</v>
      </c>
      <c r="L2517" s="369" t="s">
        <v>4107</v>
      </c>
      <c r="M2517" s="390">
        <v>45869.752789351849</v>
      </c>
      <c r="N2517" s="366" t="s">
        <v>361</v>
      </c>
      <c r="O2517" s="367" t="s">
        <v>376</v>
      </c>
      <c r="P2517" s="368" t="str">
        <f t="shared" si="42"/>
        <v>Revenue</v>
      </c>
      <c r="Q2517" s="366" t="s">
        <v>3715</v>
      </c>
      <c r="R2517" s="366" t="s">
        <v>3715</v>
      </c>
      <c r="S2517" s="366">
        <v>112100</v>
      </c>
    </row>
    <row r="2518" spans="1:19" ht="75" hidden="1" outlineLevel="1">
      <c r="B2518" s="384">
        <v>2026</v>
      </c>
      <c r="C2518" s="384">
        <v>1</v>
      </c>
      <c r="D2518" s="367" t="s">
        <v>5</v>
      </c>
      <c r="E2518" s="367" t="s">
        <v>6</v>
      </c>
      <c r="F2518" s="389" t="s">
        <v>4100</v>
      </c>
      <c r="G2518" s="385">
        <v>45868</v>
      </c>
      <c r="H2518" s="367" t="s">
        <v>11</v>
      </c>
      <c r="I2518" s="368" t="str">
        <f>VLOOKUP(H2518,'Source Codes'!A$2:B$115,2,FALSE)</f>
        <v>AR Payments</v>
      </c>
      <c r="J2518" s="422">
        <v>1671384.02</v>
      </c>
      <c r="K2518" s="385">
        <v>45869</v>
      </c>
      <c r="L2518" s="369" t="s">
        <v>4108</v>
      </c>
      <c r="M2518" s="390">
        <v>45869.752789351849</v>
      </c>
      <c r="N2518" s="366" t="s">
        <v>356</v>
      </c>
      <c r="O2518" s="367" t="s">
        <v>357</v>
      </c>
      <c r="P2518" s="368" t="str">
        <f t="shared" si="42"/>
        <v>Revenue</v>
      </c>
      <c r="Q2518" s="366" t="s">
        <v>2157</v>
      </c>
      <c r="R2518" s="366" t="s">
        <v>2157</v>
      </c>
      <c r="S2518" s="366" t="s">
        <v>2278</v>
      </c>
    </row>
    <row r="2519" spans="1:19" ht="30" hidden="1" outlineLevel="1">
      <c r="B2519" s="384">
        <v>2025</v>
      </c>
      <c r="C2519" s="384">
        <v>12</v>
      </c>
      <c r="D2519" s="367" t="s">
        <v>5</v>
      </c>
      <c r="E2519" s="367" t="s">
        <v>6</v>
      </c>
      <c r="F2519" s="389" t="s">
        <v>4101</v>
      </c>
      <c r="G2519" s="385">
        <v>45838</v>
      </c>
      <c r="H2519" s="367" t="s">
        <v>16</v>
      </c>
      <c r="I2519" s="368" t="str">
        <f>VLOOKUP(H2519,'Source Codes'!A$2:B$115,2,FALSE)</f>
        <v>Property Tax Interface</v>
      </c>
      <c r="J2519" s="422">
        <v>1737643.42</v>
      </c>
      <c r="K2519" s="385">
        <v>45869</v>
      </c>
      <c r="L2519" s="369" t="s">
        <v>4104</v>
      </c>
      <c r="M2519" s="390">
        <v>45869.484166666669</v>
      </c>
      <c r="N2519" s="366" t="s">
        <v>361</v>
      </c>
      <c r="O2519" s="367" t="s">
        <v>4111</v>
      </c>
      <c r="P2519" s="368" t="str">
        <f t="shared" si="42"/>
        <v>Revenue</v>
      </c>
      <c r="Q2519" s="366" t="s">
        <v>2311</v>
      </c>
      <c r="R2519" s="366" t="s">
        <v>4109</v>
      </c>
      <c r="S2519" s="366" t="s">
        <v>4110</v>
      </c>
    </row>
    <row r="2520" spans="1:19" ht="15" hidden="1" outlineLevel="1">
      <c r="B2520" s="384">
        <v>2026</v>
      </c>
      <c r="C2520" s="384">
        <v>1</v>
      </c>
      <c r="D2520" s="367" t="s">
        <v>5</v>
      </c>
      <c r="E2520" s="367" t="s">
        <v>6</v>
      </c>
      <c r="F2520" s="389" t="s">
        <v>4102</v>
      </c>
      <c r="G2520" s="385">
        <v>45861</v>
      </c>
      <c r="H2520" s="367" t="s">
        <v>7</v>
      </c>
      <c r="I2520" s="368" t="str">
        <f>VLOOKUP(H2520,'Source Codes'!A$2:B$115,2,FALSE)</f>
        <v>HRMS Interface Journals</v>
      </c>
      <c r="J2520" s="422">
        <v>-1825255.98</v>
      </c>
      <c r="K2520" s="385">
        <v>45869</v>
      </c>
      <c r="L2520" s="369" t="s">
        <v>409</v>
      </c>
      <c r="M2520" s="390">
        <v>45869.344918981478</v>
      </c>
      <c r="N2520" s="366" t="s">
        <v>378</v>
      </c>
      <c r="O2520" s="367" t="s">
        <v>379</v>
      </c>
      <c r="P2520" s="368" t="str">
        <f t="shared" si="42"/>
        <v>Expense</v>
      </c>
      <c r="Q2520" s="366" t="s">
        <v>379</v>
      </c>
      <c r="R2520" s="366" t="s">
        <v>4081</v>
      </c>
      <c r="S2520" s="366">
        <v>513120</v>
      </c>
    </row>
    <row r="2521" spans="1:19" ht="15" hidden="1" outlineLevel="1">
      <c r="B2521" s="384">
        <v>2026</v>
      </c>
      <c r="C2521" s="384">
        <v>1</v>
      </c>
      <c r="D2521" s="367" t="s">
        <v>5</v>
      </c>
      <c r="E2521" s="367" t="s">
        <v>6</v>
      </c>
      <c r="F2521" s="389" t="s">
        <v>4103</v>
      </c>
      <c r="G2521" s="385">
        <v>45861</v>
      </c>
      <c r="H2521" s="367" t="s">
        <v>7</v>
      </c>
      <c r="I2521" s="368" t="str">
        <f>VLOOKUP(H2521,'Source Codes'!A$2:B$115,2,FALSE)</f>
        <v>HRMS Interface Journals</v>
      </c>
      <c r="J2521" s="422">
        <v>-7453280.2400000002</v>
      </c>
      <c r="K2521" s="385">
        <v>45869</v>
      </c>
      <c r="L2521" s="369" t="s">
        <v>407</v>
      </c>
      <c r="M2521" s="390">
        <v>45869.350902777776</v>
      </c>
      <c r="N2521" s="366" t="s">
        <v>378</v>
      </c>
      <c r="O2521" s="367" t="s">
        <v>379</v>
      </c>
      <c r="P2521" s="368" t="str">
        <f t="shared" si="42"/>
        <v>Expense</v>
      </c>
      <c r="Q2521" s="366" t="s">
        <v>379</v>
      </c>
      <c r="R2521" s="366" t="s">
        <v>4081</v>
      </c>
      <c r="S2521" s="366" t="s">
        <v>203</v>
      </c>
    </row>
    <row r="2522" spans="1:19" ht="12.75" customHeight="1" collapsed="1">
      <c r="J2522" s="413">
        <f>SUM(J2515:J2521)</f>
        <v>3087038.5999999978</v>
      </c>
      <c r="P2522" s="368"/>
    </row>
    <row r="2523" spans="1:19" ht="12.75" customHeight="1">
      <c r="P2523" s="368"/>
    </row>
    <row r="2524" spans="1:19" ht="12.75" customHeight="1">
      <c r="A2524" s="378" t="s">
        <v>4112</v>
      </c>
      <c r="P2524" s="368"/>
    </row>
    <row r="2525" spans="1:19" ht="12.75" hidden="1" customHeight="1" outlineLevel="1">
      <c r="B2525" s="384">
        <v>2026</v>
      </c>
      <c r="C2525" s="384">
        <v>1</v>
      </c>
      <c r="D2525" s="367" t="s">
        <v>5</v>
      </c>
      <c r="E2525" s="367" t="s">
        <v>6</v>
      </c>
      <c r="F2525" s="389" t="s">
        <v>4113</v>
      </c>
      <c r="G2525" s="385">
        <v>45861</v>
      </c>
      <c r="H2525" s="367" t="s">
        <v>7</v>
      </c>
      <c r="I2525" s="368" t="str">
        <f>VLOOKUP(H2525,'Source Codes'!A$2:B$115,2,FALSE)</f>
        <v>HRMS Interface Journals</v>
      </c>
      <c r="J2525" s="422">
        <v>-52428888.340000004</v>
      </c>
      <c r="K2525" s="385">
        <v>45870</v>
      </c>
      <c r="L2525" s="369" t="s">
        <v>406</v>
      </c>
      <c r="M2525" s="390">
        <v>45870.308067129627</v>
      </c>
      <c r="N2525" s="366" t="s">
        <v>378</v>
      </c>
      <c r="O2525" s="367" t="s">
        <v>371</v>
      </c>
      <c r="P2525" s="368" t="str">
        <f>IF(J2525&gt;0,"Revenue",IF(J2525&lt;0,"Expense"))</f>
        <v>Expense</v>
      </c>
      <c r="Q2525" s="366" t="s">
        <v>379</v>
      </c>
      <c r="R2525" s="366" t="s">
        <v>4081</v>
      </c>
      <c r="S2525" s="366" t="s">
        <v>3927</v>
      </c>
    </row>
    <row r="2526" spans="1:19" ht="12.75" customHeight="1" collapsed="1">
      <c r="I2526" s="368"/>
      <c r="J2526" s="413">
        <f>SUM(J2525)</f>
        <v>-52428888.340000004</v>
      </c>
      <c r="P2526" s="368"/>
    </row>
    <row r="2527" spans="1:19" ht="12.75" customHeight="1">
      <c r="I2527" s="368"/>
      <c r="P2527" s="368"/>
    </row>
    <row r="2528" spans="1:19" ht="12.75" customHeight="1">
      <c r="A2528" s="378" t="s">
        <v>4114</v>
      </c>
      <c r="I2528" s="368"/>
      <c r="P2528" s="368"/>
    </row>
    <row r="2529" spans="1:19" ht="12.75" customHeight="1">
      <c r="I2529" s="368"/>
      <c r="P2529" s="368"/>
    </row>
    <row r="2530" spans="1:19" ht="30" hidden="1" outlineLevel="1">
      <c r="B2530" s="384">
        <v>2026</v>
      </c>
      <c r="C2530" s="384">
        <v>2</v>
      </c>
      <c r="D2530" s="367" t="s">
        <v>5</v>
      </c>
      <c r="E2530" s="367" t="s">
        <v>6</v>
      </c>
      <c r="F2530" s="389" t="s">
        <v>4115</v>
      </c>
      <c r="G2530" s="385">
        <v>45873</v>
      </c>
      <c r="H2530" s="367" t="s">
        <v>11</v>
      </c>
      <c r="I2530" s="368" t="str">
        <f>VLOOKUP(H2530,'Source Codes'!A$2:B$115,2,FALSE)</f>
        <v>AR Payments</v>
      </c>
      <c r="J2530" s="422">
        <v>4635765.13</v>
      </c>
      <c r="K2530" s="385">
        <v>45873</v>
      </c>
      <c r="L2530" s="369" t="s">
        <v>4116</v>
      </c>
      <c r="M2530" s="390">
        <v>45873.752129629633</v>
      </c>
      <c r="N2530" s="366" t="s">
        <v>356</v>
      </c>
      <c r="O2530" s="367" t="s">
        <v>362</v>
      </c>
      <c r="P2530" s="368" t="str">
        <f t="shared" ref="P2530:P2535" si="43">IF(J2530&gt;0,"Revenue",IF(J2530&lt;0,"Expense"))</f>
        <v>Revenue</v>
      </c>
      <c r="Q2530" s="366" t="s">
        <v>2360</v>
      </c>
      <c r="R2530" s="366" t="s">
        <v>2715</v>
      </c>
      <c r="S2530" s="366" t="s">
        <v>4117</v>
      </c>
    </row>
    <row r="2531" spans="1:19" ht="30" hidden="1" outlineLevel="1">
      <c r="B2531" s="384">
        <v>2025</v>
      </c>
      <c r="C2531" s="384">
        <v>12</v>
      </c>
      <c r="D2531" s="367">
        <v>10000</v>
      </c>
      <c r="E2531" s="367" t="s">
        <v>6</v>
      </c>
      <c r="F2531" s="389" t="s">
        <v>4118</v>
      </c>
      <c r="G2531" s="385">
        <v>45838</v>
      </c>
      <c r="H2531" s="367" t="s">
        <v>9</v>
      </c>
      <c r="I2531" s="368" t="str">
        <f>VLOOKUP(H2531,'Source Codes'!A$2:B$115,2,FALSE)</f>
        <v>On Line Journal Entries</v>
      </c>
      <c r="J2531" s="422">
        <v>3591168</v>
      </c>
      <c r="K2531" s="385">
        <v>45873</v>
      </c>
      <c r="L2531" s="369" t="s">
        <v>4119</v>
      </c>
      <c r="M2531" s="390">
        <v>45873.870937500003</v>
      </c>
      <c r="N2531" s="366" t="s">
        <v>3598</v>
      </c>
      <c r="O2531" s="367" t="s">
        <v>368</v>
      </c>
      <c r="P2531" s="368" t="str">
        <f t="shared" si="43"/>
        <v>Revenue</v>
      </c>
      <c r="Q2531" s="366" t="s">
        <v>4129</v>
      </c>
      <c r="R2531" s="366" t="s">
        <v>4120</v>
      </c>
      <c r="S2531" s="366">
        <v>774760</v>
      </c>
    </row>
    <row r="2532" spans="1:19" ht="30" hidden="1" outlineLevel="1">
      <c r="B2532" s="384">
        <v>2026</v>
      </c>
      <c r="C2532" s="384">
        <v>2</v>
      </c>
      <c r="D2532" s="367" t="s">
        <v>5</v>
      </c>
      <c r="E2532" s="367" t="s">
        <v>6</v>
      </c>
      <c r="F2532" s="389" t="s">
        <v>4121</v>
      </c>
      <c r="G2532" s="385">
        <v>45870</v>
      </c>
      <c r="H2532" s="367" t="s">
        <v>9</v>
      </c>
      <c r="I2532" s="368" t="str">
        <f>VLOOKUP(H2532,'Source Codes'!A$2:B$115,2,FALSE)</f>
        <v>On Line Journal Entries</v>
      </c>
      <c r="J2532" s="422">
        <v>-7576523.54</v>
      </c>
      <c r="K2532" s="385">
        <v>45873</v>
      </c>
      <c r="L2532" s="369" t="s">
        <v>4125</v>
      </c>
      <c r="M2532" s="390">
        <v>45873.322881944441</v>
      </c>
      <c r="N2532" s="366" t="s">
        <v>356</v>
      </c>
      <c r="O2532" s="367" t="s">
        <v>373</v>
      </c>
      <c r="P2532" s="368" t="str">
        <f t="shared" si="43"/>
        <v>Expense</v>
      </c>
      <c r="Q2532" s="366" t="s">
        <v>2569</v>
      </c>
      <c r="R2532" s="365" t="s">
        <v>4341</v>
      </c>
      <c r="S2532" s="366">
        <v>520930</v>
      </c>
    </row>
    <row r="2533" spans="1:19" ht="15" hidden="1" outlineLevel="1">
      <c r="B2533" s="384">
        <v>2026</v>
      </c>
      <c r="C2533" s="384">
        <v>2</v>
      </c>
      <c r="D2533" s="367" t="s">
        <v>5</v>
      </c>
      <c r="E2533" s="367" t="s">
        <v>6</v>
      </c>
      <c r="F2533" s="389" t="s">
        <v>4122</v>
      </c>
      <c r="G2533" s="385">
        <v>45870</v>
      </c>
      <c r="H2533" s="367" t="s">
        <v>13</v>
      </c>
      <c r="I2533" s="368" t="str">
        <f>VLOOKUP(H2533,'Source Codes'!A$2:B$115,2,FALSE)</f>
        <v>C-IV Voucher/Payments/EBT</v>
      </c>
      <c r="J2533" s="422">
        <v>-9682876.5399999991</v>
      </c>
      <c r="K2533" s="385">
        <v>45873</v>
      </c>
      <c r="L2533" s="369" t="s">
        <v>4126</v>
      </c>
      <c r="M2533" s="390">
        <v>45873.870983796296</v>
      </c>
      <c r="N2533" s="366" t="s">
        <v>356</v>
      </c>
      <c r="O2533" s="367" t="s">
        <v>364</v>
      </c>
      <c r="P2533" s="368" t="str">
        <f t="shared" si="43"/>
        <v>Expense</v>
      </c>
      <c r="Q2533" s="366" t="s">
        <v>2204</v>
      </c>
      <c r="R2533" s="393">
        <v>45870</v>
      </c>
      <c r="S2533" s="366">
        <v>530480</v>
      </c>
    </row>
    <row r="2534" spans="1:19" ht="15" hidden="1" outlineLevel="1">
      <c r="B2534" s="384">
        <v>2026</v>
      </c>
      <c r="C2534" s="384">
        <v>2</v>
      </c>
      <c r="D2534" s="367" t="s">
        <v>5</v>
      </c>
      <c r="E2534" s="367" t="s">
        <v>6</v>
      </c>
      <c r="F2534" s="389" t="s">
        <v>4123</v>
      </c>
      <c r="G2534" s="385">
        <v>45870</v>
      </c>
      <c r="H2534" s="367" t="s">
        <v>13</v>
      </c>
      <c r="I2534" s="368" t="str">
        <f>VLOOKUP(H2534,'Source Codes'!A$2:B$115,2,FALSE)</f>
        <v>C-IV Voucher/Payments/EBT</v>
      </c>
      <c r="J2534" s="422">
        <v>-11714734.970000001</v>
      </c>
      <c r="K2534" s="385">
        <v>45873</v>
      </c>
      <c r="L2534" s="369" t="s">
        <v>4127</v>
      </c>
      <c r="M2534" s="390">
        <v>45873.870983796296</v>
      </c>
      <c r="N2534" s="366" t="s">
        <v>356</v>
      </c>
      <c r="O2534" s="367" t="s">
        <v>364</v>
      </c>
      <c r="P2534" s="368" t="str">
        <f t="shared" si="43"/>
        <v>Expense</v>
      </c>
      <c r="Q2534" s="366" t="s">
        <v>2204</v>
      </c>
      <c r="R2534" s="393">
        <v>45839</v>
      </c>
      <c r="S2534" s="366">
        <v>530480</v>
      </c>
    </row>
    <row r="2535" spans="1:19" ht="15" hidden="1" outlineLevel="1">
      <c r="B2535" s="384">
        <v>2026</v>
      </c>
      <c r="C2535" s="384">
        <v>2</v>
      </c>
      <c r="D2535" s="367" t="s">
        <v>5</v>
      </c>
      <c r="E2535" s="367" t="s">
        <v>6</v>
      </c>
      <c r="F2535" s="389" t="s">
        <v>4124</v>
      </c>
      <c r="G2535" s="385">
        <v>45870</v>
      </c>
      <c r="H2535" s="367" t="s">
        <v>13</v>
      </c>
      <c r="I2535" s="368" t="str">
        <f>VLOOKUP(H2535,'Source Codes'!A$2:B$115,2,FALSE)</f>
        <v>C-IV Voucher/Payments/EBT</v>
      </c>
      <c r="J2535" s="422">
        <v>-16915144.68</v>
      </c>
      <c r="K2535" s="385">
        <v>45873</v>
      </c>
      <c r="L2535" s="369" t="s">
        <v>4128</v>
      </c>
      <c r="M2535" s="390">
        <v>45873.870983796296</v>
      </c>
      <c r="N2535" s="366" t="s">
        <v>356</v>
      </c>
      <c r="O2535" s="367" t="s">
        <v>364</v>
      </c>
      <c r="P2535" s="368" t="str">
        <f t="shared" si="43"/>
        <v>Expense</v>
      </c>
      <c r="Q2535" s="366" t="s">
        <v>2204</v>
      </c>
      <c r="R2535" s="393">
        <v>45863</v>
      </c>
      <c r="S2535" s="366">
        <v>530480</v>
      </c>
    </row>
    <row r="2536" spans="1:19" ht="12.75" customHeight="1" collapsed="1">
      <c r="I2536" s="368"/>
      <c r="J2536" s="413">
        <f>SUM(J2530:J2535)</f>
        <v>-37662346.600000001</v>
      </c>
      <c r="P2536" s="368"/>
    </row>
    <row r="2537" spans="1:19" ht="12.75" customHeight="1">
      <c r="I2537" s="368"/>
      <c r="P2537" s="368"/>
    </row>
    <row r="2538" spans="1:19" ht="12.75" customHeight="1">
      <c r="A2538" s="378" t="s">
        <v>4130</v>
      </c>
      <c r="I2538" s="368"/>
      <c r="P2538" s="368"/>
    </row>
    <row r="2539" spans="1:19" ht="30" hidden="1" outlineLevel="1">
      <c r="B2539" s="384">
        <v>2026</v>
      </c>
      <c r="C2539" s="384">
        <v>2</v>
      </c>
      <c r="D2539" s="367" t="s">
        <v>5</v>
      </c>
      <c r="E2539" s="367" t="s">
        <v>6</v>
      </c>
      <c r="F2539" s="389" t="s">
        <v>4131</v>
      </c>
      <c r="G2539" s="385">
        <v>45874</v>
      </c>
      <c r="H2539" s="367" t="s">
        <v>14</v>
      </c>
      <c r="I2539" s="368" t="str">
        <f>VLOOKUP(H2539,'Source Codes'!A$2:B$115,2,FALSE)</f>
        <v>AP Warrant Issuance</v>
      </c>
      <c r="J2539" s="422">
        <v>-1067873.92</v>
      </c>
      <c r="K2539" s="385">
        <v>45874</v>
      </c>
      <c r="L2539" s="369" t="s">
        <v>4132</v>
      </c>
      <c r="M2539" s="390">
        <v>45874.756944444445</v>
      </c>
      <c r="N2539" s="366" t="s">
        <v>356</v>
      </c>
      <c r="O2539" s="367" t="s">
        <v>368</v>
      </c>
      <c r="P2539" s="368" t="str">
        <f t="shared" ref="P2539:P2546" si="44">IF(J2539&gt;0,"Revenue",IF(J2539&lt;0,"Expense"))</f>
        <v>Expense</v>
      </c>
      <c r="Q2539" s="366" t="s">
        <v>2154</v>
      </c>
      <c r="R2539" s="366" t="s">
        <v>2154</v>
      </c>
      <c r="S2539" s="366" t="s">
        <v>203</v>
      </c>
    </row>
    <row r="2540" spans="1:19" ht="90" hidden="1" outlineLevel="1">
      <c r="B2540" s="384">
        <v>2026</v>
      </c>
      <c r="C2540" s="384">
        <v>2</v>
      </c>
      <c r="D2540" s="367" t="s">
        <v>5</v>
      </c>
      <c r="E2540" s="367" t="s">
        <v>6</v>
      </c>
      <c r="F2540" s="389" t="s">
        <v>4133</v>
      </c>
      <c r="G2540" s="385">
        <v>45873</v>
      </c>
      <c r="H2540" s="367" t="s">
        <v>11</v>
      </c>
      <c r="I2540" s="368" t="str">
        <f>VLOOKUP(H2540,'Source Codes'!A$2:B$115,2,FALSE)</f>
        <v>AR Payments</v>
      </c>
      <c r="J2540" s="422">
        <v>1199905.92</v>
      </c>
      <c r="K2540" s="385">
        <v>45874</v>
      </c>
      <c r="L2540" s="369" t="s">
        <v>4134</v>
      </c>
      <c r="M2540" s="390">
        <v>45874.752025462964</v>
      </c>
      <c r="N2540" s="366" t="s">
        <v>356</v>
      </c>
      <c r="O2540" s="367" t="s">
        <v>357</v>
      </c>
      <c r="P2540" s="368" t="str">
        <f t="shared" si="44"/>
        <v>Revenue</v>
      </c>
      <c r="Q2540" s="366" t="s">
        <v>2157</v>
      </c>
      <c r="R2540" s="366" t="s">
        <v>2157</v>
      </c>
      <c r="S2540" s="366" t="s">
        <v>2911</v>
      </c>
    </row>
    <row r="2541" spans="1:19" ht="45" hidden="1" outlineLevel="1">
      <c r="B2541" s="384">
        <v>2026</v>
      </c>
      <c r="C2541" s="384">
        <v>1</v>
      </c>
      <c r="D2541" s="367" t="s">
        <v>5</v>
      </c>
      <c r="E2541" s="367" t="s">
        <v>6</v>
      </c>
      <c r="F2541" s="389" t="s">
        <v>4135</v>
      </c>
      <c r="G2541" s="385">
        <v>45867</v>
      </c>
      <c r="H2541" s="367" t="s">
        <v>9</v>
      </c>
      <c r="I2541" s="368" t="str">
        <f>VLOOKUP(H2541,'Source Codes'!A$2:B$115,2,FALSE)</f>
        <v>On Line Journal Entries</v>
      </c>
      <c r="J2541" s="422">
        <v>14103532.5</v>
      </c>
      <c r="K2541" s="385">
        <v>45874</v>
      </c>
      <c r="L2541" s="369" t="s">
        <v>4139</v>
      </c>
      <c r="M2541" s="390">
        <v>45874.870219907411</v>
      </c>
      <c r="N2541" s="366" t="s">
        <v>356</v>
      </c>
      <c r="O2541" s="367" t="s">
        <v>371</v>
      </c>
      <c r="P2541" s="368" t="str">
        <f t="shared" si="44"/>
        <v>Revenue</v>
      </c>
      <c r="Q2541" s="366" t="s">
        <v>2427</v>
      </c>
      <c r="R2541" s="366" t="s">
        <v>4143</v>
      </c>
      <c r="S2541" s="366" t="s">
        <v>2160</v>
      </c>
    </row>
    <row r="2542" spans="1:19" ht="60" hidden="1" outlineLevel="1">
      <c r="B2542" s="384">
        <v>2026</v>
      </c>
      <c r="C2542" s="384">
        <v>1</v>
      </c>
      <c r="D2542" s="367" t="s">
        <v>5</v>
      </c>
      <c r="E2542" s="367" t="s">
        <v>6</v>
      </c>
      <c r="F2542" s="389" t="s">
        <v>4136</v>
      </c>
      <c r="G2542" s="385">
        <v>45867</v>
      </c>
      <c r="H2542" s="367" t="s">
        <v>9</v>
      </c>
      <c r="I2542" s="368" t="str">
        <f>VLOOKUP(H2542,'Source Codes'!A$2:B$115,2,FALSE)</f>
        <v>On Line Journal Entries</v>
      </c>
      <c r="J2542" s="422">
        <v>3348859.09</v>
      </c>
      <c r="K2542" s="385">
        <v>45874</v>
      </c>
      <c r="L2542" s="369" t="s">
        <v>4140</v>
      </c>
      <c r="M2542" s="390">
        <v>45874.870219907411</v>
      </c>
      <c r="N2542" s="366" t="s">
        <v>356</v>
      </c>
      <c r="O2542" s="367" t="s">
        <v>371</v>
      </c>
      <c r="P2542" s="368" t="str">
        <f t="shared" si="44"/>
        <v>Revenue</v>
      </c>
      <c r="Q2542" s="366" t="s">
        <v>3577</v>
      </c>
      <c r="R2542" s="366" t="s">
        <v>4144</v>
      </c>
      <c r="S2542" s="366">
        <v>750900</v>
      </c>
    </row>
    <row r="2543" spans="1:19" ht="15" hidden="1" outlineLevel="1">
      <c r="B2543" s="384">
        <v>2026</v>
      </c>
      <c r="C2543" s="384">
        <v>1</v>
      </c>
      <c r="D2543" s="367" t="s">
        <v>5</v>
      </c>
      <c r="E2543" s="367" t="s">
        <v>6</v>
      </c>
      <c r="F2543" s="389" t="s">
        <v>4137</v>
      </c>
      <c r="G2543" s="385">
        <v>45867</v>
      </c>
      <c r="H2543" s="367" t="s">
        <v>9</v>
      </c>
      <c r="I2543" s="368" t="str">
        <f>VLOOKUP(H2543,'Source Codes'!A$2:B$115,2,FALSE)</f>
        <v>On Line Journal Entries</v>
      </c>
      <c r="J2543" s="422">
        <v>2089074.11</v>
      </c>
      <c r="K2543" s="385">
        <v>45874</v>
      </c>
      <c r="L2543" s="369" t="s">
        <v>4141</v>
      </c>
      <c r="M2543" s="390">
        <v>45874.870219907411</v>
      </c>
      <c r="N2543" s="366" t="s">
        <v>356</v>
      </c>
      <c r="O2543" s="367" t="s">
        <v>371</v>
      </c>
      <c r="P2543" s="368" t="str">
        <f t="shared" si="44"/>
        <v>Revenue</v>
      </c>
      <c r="Q2543" s="366" t="s">
        <v>2164</v>
      </c>
      <c r="R2543" s="365">
        <v>45839</v>
      </c>
      <c r="S2543" s="366">
        <v>755909</v>
      </c>
    </row>
    <row r="2544" spans="1:19" ht="45" hidden="1" outlineLevel="1">
      <c r="B2544" s="384">
        <v>2026</v>
      </c>
      <c r="C2544" s="384">
        <v>1</v>
      </c>
      <c r="D2544" s="367" t="s">
        <v>5</v>
      </c>
      <c r="E2544" s="367" t="s">
        <v>6</v>
      </c>
      <c r="F2544" s="389" t="s">
        <v>4138</v>
      </c>
      <c r="G2544" s="385">
        <v>45867</v>
      </c>
      <c r="H2544" s="367" t="s">
        <v>9</v>
      </c>
      <c r="I2544" s="368" t="str">
        <f>VLOOKUP(H2544,'Source Codes'!A$2:B$115,2,FALSE)</f>
        <v>On Line Journal Entries</v>
      </c>
      <c r="J2544" s="422">
        <v>1343518.08</v>
      </c>
      <c r="K2544" s="385">
        <v>45874</v>
      </c>
      <c r="L2544" s="369" t="s">
        <v>4142</v>
      </c>
      <c r="M2544" s="390">
        <v>45874.870219907411</v>
      </c>
      <c r="N2544" s="366" t="s">
        <v>356</v>
      </c>
      <c r="O2544" s="367" t="s">
        <v>371</v>
      </c>
      <c r="P2544" s="368" t="str">
        <f t="shared" si="44"/>
        <v>Revenue</v>
      </c>
      <c r="Q2544" s="366" t="s">
        <v>4145</v>
      </c>
      <c r="R2544" s="366" t="s">
        <v>4143</v>
      </c>
      <c r="S2544" s="366">
        <v>751500</v>
      </c>
    </row>
    <row r="2545" spans="1:19" ht="30" hidden="1" outlineLevel="1">
      <c r="B2545" s="384">
        <v>2026</v>
      </c>
      <c r="C2545" s="384">
        <v>2</v>
      </c>
      <c r="D2545" s="367" t="s">
        <v>5</v>
      </c>
      <c r="E2545" s="367" t="s">
        <v>6</v>
      </c>
      <c r="F2545" s="389" t="s">
        <v>4146</v>
      </c>
      <c r="G2545" s="385">
        <v>45870</v>
      </c>
      <c r="H2545" s="367" t="s">
        <v>9</v>
      </c>
      <c r="I2545" s="368" t="str">
        <f>VLOOKUP(H2545,'Source Codes'!A$2:B$115,2,FALSE)</f>
        <v>On Line Journal Entries</v>
      </c>
      <c r="J2545" s="422">
        <v>-4444115.4000000004</v>
      </c>
      <c r="K2545" s="385">
        <v>45874</v>
      </c>
      <c r="L2545" s="369" t="s">
        <v>4148</v>
      </c>
      <c r="M2545" s="390">
        <v>45874.366377314815</v>
      </c>
      <c r="N2545" s="366" t="s">
        <v>356</v>
      </c>
      <c r="O2545" s="367" t="s">
        <v>373</v>
      </c>
      <c r="P2545" s="368" t="str">
        <f t="shared" si="44"/>
        <v>Expense</v>
      </c>
      <c r="Q2545" s="366" t="s">
        <v>2517</v>
      </c>
      <c r="R2545" s="366" t="s">
        <v>4340</v>
      </c>
      <c r="S2545" s="366">
        <v>517000</v>
      </c>
    </row>
    <row r="2546" spans="1:19" ht="30" hidden="1" outlineLevel="1">
      <c r="B2546" s="384">
        <v>2026</v>
      </c>
      <c r="C2546" s="384">
        <v>2</v>
      </c>
      <c r="D2546" s="367" t="s">
        <v>5</v>
      </c>
      <c r="E2546" s="367" t="s">
        <v>6</v>
      </c>
      <c r="F2546" s="389" t="s">
        <v>4147</v>
      </c>
      <c r="G2546" s="385">
        <v>45870</v>
      </c>
      <c r="H2546" s="367" t="s">
        <v>9</v>
      </c>
      <c r="I2546" s="368" t="str">
        <f>VLOOKUP(H2546,'Source Codes'!A$2:B$115,2,FALSE)</f>
        <v>On Line Journal Entries</v>
      </c>
      <c r="J2546" s="422">
        <v>-5537987</v>
      </c>
      <c r="K2546" s="385">
        <v>45874</v>
      </c>
      <c r="L2546" s="369" t="s">
        <v>4149</v>
      </c>
      <c r="M2546" s="390">
        <v>45874.671493055554</v>
      </c>
      <c r="N2546" s="366" t="s">
        <v>356</v>
      </c>
      <c r="O2546" s="367" t="s">
        <v>374</v>
      </c>
      <c r="P2546" s="368" t="str">
        <f t="shared" si="44"/>
        <v>Expense</v>
      </c>
      <c r="Q2546" s="366" t="s">
        <v>2202</v>
      </c>
      <c r="R2546" s="366" t="s">
        <v>4150</v>
      </c>
      <c r="S2546" s="366">
        <v>525840</v>
      </c>
    </row>
    <row r="2547" spans="1:19" ht="12.75" customHeight="1" collapsed="1">
      <c r="I2547" s="368"/>
      <c r="J2547" s="413">
        <f>SUM(J2539:J2546)</f>
        <v>11034913.380000001</v>
      </c>
      <c r="P2547" s="368"/>
    </row>
    <row r="2548" spans="1:19" ht="12.75" customHeight="1">
      <c r="I2548" s="368"/>
      <c r="P2548" s="368"/>
    </row>
    <row r="2549" spans="1:19" ht="12.75" customHeight="1">
      <c r="A2549" s="378" t="s">
        <v>4151</v>
      </c>
      <c r="I2549" s="368"/>
      <c r="P2549" s="368"/>
    </row>
    <row r="2550" spans="1:19" ht="30" hidden="1" outlineLevel="1">
      <c r="B2550" s="384">
        <v>2026</v>
      </c>
      <c r="C2550" s="384">
        <v>2</v>
      </c>
      <c r="D2550" s="367" t="s">
        <v>5</v>
      </c>
      <c r="E2550" s="367" t="s">
        <v>6</v>
      </c>
      <c r="F2550" s="389" t="s">
        <v>4152</v>
      </c>
      <c r="G2550" s="385">
        <v>45877</v>
      </c>
      <c r="H2550" s="367" t="s">
        <v>14</v>
      </c>
      <c r="I2550" s="368" t="str">
        <f>VLOOKUP(H2550,'Source Codes'!A$2:B$115,2,FALSE)</f>
        <v>AP Warrant Issuance</v>
      </c>
      <c r="J2550" s="422">
        <v>-6114734</v>
      </c>
      <c r="K2550" s="385">
        <v>45875</v>
      </c>
      <c r="L2550" s="369" t="s">
        <v>4154</v>
      </c>
      <c r="M2550" s="390">
        <v>45875.7575462963</v>
      </c>
      <c r="N2550" s="366" t="s">
        <v>356</v>
      </c>
      <c r="O2550" s="367" t="s">
        <v>368</v>
      </c>
      <c r="P2550" s="368" t="str">
        <f>IF(J2550&gt;0,"Revenue",IF(J2550&lt;0,"Expense"))</f>
        <v>Expense</v>
      </c>
      <c r="Q2550" s="366" t="s">
        <v>2154</v>
      </c>
      <c r="R2550" s="366" t="s">
        <v>2154</v>
      </c>
      <c r="S2550" s="366" t="s">
        <v>203</v>
      </c>
    </row>
    <row r="2551" spans="1:19" ht="30" hidden="1" outlineLevel="1">
      <c r="B2551" s="384">
        <v>2026</v>
      </c>
      <c r="C2551" s="384">
        <v>2</v>
      </c>
      <c r="D2551" s="367" t="s">
        <v>5</v>
      </c>
      <c r="E2551" s="367" t="s">
        <v>6</v>
      </c>
      <c r="F2551" s="389" t="s">
        <v>4153</v>
      </c>
      <c r="G2551" s="385">
        <v>45875</v>
      </c>
      <c r="H2551" s="367" t="s">
        <v>14</v>
      </c>
      <c r="I2551" s="368" t="str">
        <f>VLOOKUP(H2551,'Source Codes'!A$2:B$115,2,FALSE)</f>
        <v>AP Warrant Issuance</v>
      </c>
      <c r="J2551" s="422">
        <v>-2455615.13</v>
      </c>
      <c r="K2551" s="385">
        <v>45875</v>
      </c>
      <c r="L2551" s="369" t="s">
        <v>4155</v>
      </c>
      <c r="M2551" s="390">
        <v>45875.7575462963</v>
      </c>
      <c r="N2551" s="366" t="s">
        <v>356</v>
      </c>
      <c r="O2551" s="367" t="s">
        <v>368</v>
      </c>
      <c r="P2551" s="368" t="str">
        <f>IF(J2551&gt;0,"Revenue",IF(J2551&lt;0,"Expense"))</f>
        <v>Expense</v>
      </c>
      <c r="Q2551" s="366" t="s">
        <v>2154</v>
      </c>
      <c r="R2551" s="366" t="s">
        <v>2154</v>
      </c>
      <c r="S2551" s="366" t="s">
        <v>203</v>
      </c>
    </row>
    <row r="2552" spans="1:19" ht="45" hidden="1" outlineLevel="1">
      <c r="B2552" s="384">
        <v>2026</v>
      </c>
      <c r="C2552" s="384">
        <v>2</v>
      </c>
      <c r="D2552" s="367" t="s">
        <v>5</v>
      </c>
      <c r="E2552" s="367" t="s">
        <v>6</v>
      </c>
      <c r="F2552" s="389" t="s">
        <v>4156</v>
      </c>
      <c r="G2552" s="385">
        <v>45875</v>
      </c>
      <c r="H2552" s="367" t="s">
        <v>11</v>
      </c>
      <c r="I2552" s="368" t="str">
        <f>VLOOKUP(H2552,'Source Codes'!A$2:B$115,2,FALSE)</f>
        <v>AR Payments</v>
      </c>
      <c r="J2552" s="422">
        <v>1122094.81</v>
      </c>
      <c r="K2552" s="385">
        <v>45875</v>
      </c>
      <c r="L2552" s="369" t="s">
        <v>4157</v>
      </c>
      <c r="M2552" s="390">
        <v>45875.752152777779</v>
      </c>
      <c r="N2552" s="366" t="s">
        <v>356</v>
      </c>
      <c r="O2552" s="367" t="s">
        <v>357</v>
      </c>
      <c r="P2552" s="368" t="str">
        <f>IF(J2552&gt;0,"Revenue",IF(J2552&lt;0,"Expense"))</f>
        <v>Revenue</v>
      </c>
      <c r="Q2552" s="366" t="s">
        <v>2157</v>
      </c>
      <c r="R2552" s="366" t="s">
        <v>2857</v>
      </c>
      <c r="S2552" s="366" t="s">
        <v>3159</v>
      </c>
    </row>
    <row r="2553" spans="1:19" ht="30" hidden="1" outlineLevel="1">
      <c r="B2553" s="384">
        <v>2026</v>
      </c>
      <c r="C2553" s="384">
        <v>1</v>
      </c>
      <c r="D2553" s="367" t="s">
        <v>5</v>
      </c>
      <c r="E2553" s="367" t="s">
        <v>6</v>
      </c>
      <c r="F2553" s="389" t="s">
        <v>4158</v>
      </c>
      <c r="G2553" s="385">
        <v>45867</v>
      </c>
      <c r="H2553" s="367" t="s">
        <v>9</v>
      </c>
      <c r="I2553" s="368" t="str">
        <f>VLOOKUP(H2553,'Source Codes'!A$2:B$115,2,FALSE)</f>
        <v>On Line Journal Entries</v>
      </c>
      <c r="J2553" s="422">
        <v>29151341.690000001</v>
      </c>
      <c r="K2553" s="385">
        <v>45875</v>
      </c>
      <c r="L2553" s="369" t="s">
        <v>4159</v>
      </c>
      <c r="M2553" s="390">
        <v>45875.338634259257</v>
      </c>
      <c r="N2553" s="366" t="s">
        <v>356</v>
      </c>
      <c r="O2553" s="367" t="s">
        <v>371</v>
      </c>
      <c r="P2553" s="368" t="str">
        <f>IF(J2553&gt;0,"Revenue",IF(J2553&lt;0,"Expense"))</f>
        <v>Revenue</v>
      </c>
      <c r="Q2553" s="366" t="s">
        <v>2158</v>
      </c>
      <c r="R2553" s="366" t="s">
        <v>4160</v>
      </c>
      <c r="S2553" s="366">
        <v>755120</v>
      </c>
    </row>
    <row r="2554" spans="1:19" ht="45" hidden="1" outlineLevel="1">
      <c r="B2554" s="384">
        <v>2026</v>
      </c>
      <c r="C2554" s="384">
        <v>1</v>
      </c>
      <c r="D2554" s="367" t="s">
        <v>5</v>
      </c>
      <c r="E2554" s="367" t="s">
        <v>6</v>
      </c>
      <c r="F2554" s="389" t="s">
        <v>4161</v>
      </c>
      <c r="G2554" s="385">
        <v>45862</v>
      </c>
      <c r="H2554" s="367" t="s">
        <v>9</v>
      </c>
      <c r="I2554" s="368" t="str">
        <f>VLOOKUP(H2554,'Source Codes'!A$2:B$115,2,FALSE)</f>
        <v>On Line Journal Entries</v>
      </c>
      <c r="J2554" s="422">
        <v>-6660875</v>
      </c>
      <c r="K2554" s="385">
        <v>45875</v>
      </c>
      <c r="L2554" s="369" t="s">
        <v>4162</v>
      </c>
      <c r="M2554" s="390">
        <v>45875.584710648145</v>
      </c>
      <c r="N2554" s="366" t="s">
        <v>356</v>
      </c>
      <c r="O2554" s="367" t="s">
        <v>368</v>
      </c>
      <c r="P2554" s="368" t="str">
        <f>IF(J2554&gt;0,"Revenue",IF(J2554&lt;0,"Expense"))</f>
        <v>Expense</v>
      </c>
      <c r="Q2554" s="366" t="s">
        <v>2270</v>
      </c>
      <c r="R2554" s="366" t="s">
        <v>4163</v>
      </c>
      <c r="S2554" s="366">
        <v>530280</v>
      </c>
    </row>
    <row r="2555" spans="1:19" ht="12.75" customHeight="1" collapsed="1">
      <c r="I2555" s="368"/>
      <c r="J2555" s="413">
        <f>SUM(J2550:J2554)</f>
        <v>15042212.370000005</v>
      </c>
      <c r="P2555" s="368"/>
    </row>
    <row r="2556" spans="1:19" ht="12.75" customHeight="1">
      <c r="I2556" s="368"/>
      <c r="P2556" s="368"/>
    </row>
    <row r="2557" spans="1:19" ht="12.75" customHeight="1">
      <c r="A2557" s="378" t="s">
        <v>4164</v>
      </c>
      <c r="I2557" s="368"/>
      <c r="P2557" s="368"/>
    </row>
    <row r="2558" spans="1:19" ht="60" hidden="1" outlineLevel="1">
      <c r="B2558" s="384">
        <v>2026</v>
      </c>
      <c r="C2558" s="384">
        <v>2</v>
      </c>
      <c r="D2558" s="367" t="s">
        <v>5</v>
      </c>
      <c r="E2558" s="367" t="s">
        <v>6</v>
      </c>
      <c r="F2558" s="389" t="s">
        <v>4165</v>
      </c>
      <c r="G2558" s="385">
        <v>45875</v>
      </c>
      <c r="H2558" s="367" t="s">
        <v>11</v>
      </c>
      <c r="I2558" s="368" t="str">
        <f>VLOOKUP(H2558,'Source Codes'!A$2:B$115,2,FALSE)</f>
        <v>AR Payments</v>
      </c>
      <c r="J2558" s="422">
        <v>2620751.09</v>
      </c>
      <c r="K2558" s="385">
        <v>45876</v>
      </c>
      <c r="L2558" s="369" t="s">
        <v>4167</v>
      </c>
      <c r="M2558" s="390">
        <v>45876.75209490741</v>
      </c>
      <c r="N2558" s="366" t="s">
        <v>356</v>
      </c>
      <c r="O2558" s="367" t="s">
        <v>357</v>
      </c>
      <c r="P2558" s="368" t="str">
        <f>IF(J2558&gt;0,"Revenue",IF(J2558&lt;0,"Expense"))</f>
        <v>Revenue</v>
      </c>
      <c r="Q2558" s="366" t="s">
        <v>2157</v>
      </c>
      <c r="R2558" s="366" t="s">
        <v>2857</v>
      </c>
      <c r="S2558" s="366" t="s">
        <v>4117</v>
      </c>
    </row>
    <row r="2559" spans="1:19" ht="45" hidden="1" outlineLevel="1">
      <c r="B2559" s="384">
        <v>2026</v>
      </c>
      <c r="C2559" s="384">
        <v>2</v>
      </c>
      <c r="D2559" s="367" t="s">
        <v>5</v>
      </c>
      <c r="E2559" s="367" t="s">
        <v>6</v>
      </c>
      <c r="F2559" s="389" t="s">
        <v>4166</v>
      </c>
      <c r="G2559" s="385">
        <v>45876</v>
      </c>
      <c r="H2559" s="367" t="s">
        <v>11</v>
      </c>
      <c r="I2559" s="368" t="str">
        <f>VLOOKUP(H2559,'Source Codes'!A$2:B$115,2,FALSE)</f>
        <v>AR Payments</v>
      </c>
      <c r="J2559" s="422">
        <v>5100274.66</v>
      </c>
      <c r="K2559" s="385">
        <v>45876</v>
      </c>
      <c r="L2559" s="369" t="s">
        <v>4168</v>
      </c>
      <c r="M2559" s="390">
        <v>45876.75209490741</v>
      </c>
      <c r="N2559" s="366" t="s">
        <v>356</v>
      </c>
      <c r="O2559" s="367" t="s">
        <v>357</v>
      </c>
      <c r="P2559" s="368" t="str">
        <f>IF(J2559&gt;0,"Revenue",IF(J2559&lt;0,"Expense"))</f>
        <v>Revenue</v>
      </c>
      <c r="Q2559" s="366" t="s">
        <v>2157</v>
      </c>
      <c r="R2559" s="366" t="s">
        <v>2857</v>
      </c>
      <c r="S2559" s="366" t="s">
        <v>3159</v>
      </c>
    </row>
    <row r="2560" spans="1:19" ht="12.75" customHeight="1" collapsed="1">
      <c r="J2560" s="413">
        <f>SUM(J2558:J2559)</f>
        <v>7721025.75</v>
      </c>
    </row>
    <row r="2562" spans="1:19" ht="12.75" customHeight="1">
      <c r="A2562" s="378" t="s">
        <v>4169</v>
      </c>
    </row>
    <row r="2563" spans="1:19" ht="30" hidden="1" outlineLevel="1">
      <c r="B2563" s="384">
        <v>2026</v>
      </c>
      <c r="C2563" s="384">
        <v>2</v>
      </c>
      <c r="D2563" s="367" t="s">
        <v>5</v>
      </c>
      <c r="E2563" s="367" t="s">
        <v>6</v>
      </c>
      <c r="F2563" s="389" t="s">
        <v>4170</v>
      </c>
      <c r="G2563" s="385">
        <v>45880</v>
      </c>
      <c r="H2563" s="367" t="s">
        <v>14</v>
      </c>
      <c r="I2563" s="368" t="str">
        <f>VLOOKUP(H2563,'Source Codes'!A$2:B$115,2,FALSE)</f>
        <v>AP Warrant Issuance</v>
      </c>
      <c r="J2563" s="422">
        <v>-3122211.21</v>
      </c>
      <c r="K2563" s="385">
        <v>45880</v>
      </c>
      <c r="L2563" s="369" t="s">
        <v>4173</v>
      </c>
      <c r="M2563" s="390">
        <v>45880.757893518516</v>
      </c>
      <c r="N2563" s="366" t="s">
        <v>356</v>
      </c>
      <c r="O2563" s="367" t="s">
        <v>368</v>
      </c>
      <c r="P2563" s="368" t="s">
        <v>2613</v>
      </c>
      <c r="Q2563" s="366" t="s">
        <v>2154</v>
      </c>
      <c r="R2563" s="366" t="s">
        <v>2154</v>
      </c>
      <c r="S2563" s="366" t="s">
        <v>203</v>
      </c>
    </row>
    <row r="2564" spans="1:19" ht="30" hidden="1" outlineLevel="1">
      <c r="B2564" s="384">
        <v>2026</v>
      </c>
      <c r="C2564" s="384">
        <v>2</v>
      </c>
      <c r="D2564" s="367" t="s">
        <v>5</v>
      </c>
      <c r="E2564" s="367" t="s">
        <v>6</v>
      </c>
      <c r="F2564" s="389" t="s">
        <v>4171</v>
      </c>
      <c r="G2564" s="385">
        <v>45882</v>
      </c>
      <c r="H2564" s="367" t="s">
        <v>14</v>
      </c>
      <c r="I2564" s="368" t="str">
        <f>VLOOKUP(H2564,'Source Codes'!A$2:B$115,2,FALSE)</f>
        <v>AP Warrant Issuance</v>
      </c>
      <c r="J2564" s="422">
        <v>-1021675.15</v>
      </c>
      <c r="K2564" s="385">
        <v>45880</v>
      </c>
      <c r="L2564" s="369" t="s">
        <v>4174</v>
      </c>
      <c r="M2564" s="390">
        <v>45880.757893518516</v>
      </c>
      <c r="N2564" s="366" t="s">
        <v>356</v>
      </c>
      <c r="O2564" s="367" t="s">
        <v>368</v>
      </c>
      <c r="P2564" s="368" t="s">
        <v>2613</v>
      </c>
      <c r="Q2564" s="366" t="s">
        <v>2154</v>
      </c>
      <c r="R2564" s="366" t="s">
        <v>2154</v>
      </c>
      <c r="S2564" s="366" t="s">
        <v>203</v>
      </c>
    </row>
    <row r="2565" spans="1:19" ht="99" hidden="1" customHeight="1" outlineLevel="1">
      <c r="B2565" s="384">
        <v>2026</v>
      </c>
      <c r="C2565" s="384">
        <v>2</v>
      </c>
      <c r="D2565" s="367" t="s">
        <v>5</v>
      </c>
      <c r="E2565" s="367" t="s">
        <v>6</v>
      </c>
      <c r="F2565" s="389" t="s">
        <v>4172</v>
      </c>
      <c r="G2565" s="385">
        <v>45880</v>
      </c>
      <c r="H2565" s="367" t="s">
        <v>11</v>
      </c>
      <c r="I2565" s="368" t="str">
        <f>VLOOKUP(H2565,'Source Codes'!A$2:B$115,2,FALSE)</f>
        <v>AR Payments</v>
      </c>
      <c r="J2565" s="422">
        <v>3000924.55</v>
      </c>
      <c r="K2565" s="385">
        <v>45880</v>
      </c>
      <c r="L2565" s="369" t="s">
        <v>4176</v>
      </c>
      <c r="M2565" s="390">
        <v>45880.752083333333</v>
      </c>
      <c r="N2565" s="366" t="s">
        <v>356</v>
      </c>
      <c r="O2565" s="367" t="s">
        <v>357</v>
      </c>
      <c r="P2565" s="368" t="s">
        <v>2290</v>
      </c>
      <c r="Q2565" s="366" t="s">
        <v>2157</v>
      </c>
      <c r="R2565" s="366" t="s">
        <v>2857</v>
      </c>
      <c r="S2565" s="366" t="s">
        <v>4175</v>
      </c>
    </row>
    <row r="2566" spans="1:19" ht="12.75" customHeight="1" collapsed="1">
      <c r="J2566" s="413">
        <f>SUM(J2563:J2565)</f>
        <v>-1142961.81</v>
      </c>
    </row>
    <row r="2568" spans="1:19" ht="12.75" customHeight="1">
      <c r="A2568" s="378" t="s">
        <v>4177</v>
      </c>
    </row>
    <row r="2569" spans="1:19" ht="30" hidden="1" outlineLevel="1">
      <c r="B2569" s="384">
        <v>2026</v>
      </c>
      <c r="C2569" s="384">
        <v>2</v>
      </c>
      <c r="D2569" s="367" t="s">
        <v>5</v>
      </c>
      <c r="E2569" s="367" t="s">
        <v>6</v>
      </c>
      <c r="F2569" s="389" t="s">
        <v>4178</v>
      </c>
      <c r="G2569" s="385">
        <v>45883</v>
      </c>
      <c r="H2569" s="367" t="s">
        <v>14</v>
      </c>
      <c r="I2569" s="368" t="str">
        <f>VLOOKUP(H2569,'Source Codes'!A$2:B$115,2,FALSE)</f>
        <v>AP Warrant Issuance</v>
      </c>
      <c r="J2569" s="422">
        <v>-2898076.12</v>
      </c>
      <c r="K2569" s="385">
        <v>45881</v>
      </c>
      <c r="L2569" s="369" t="s">
        <v>4187</v>
      </c>
      <c r="M2569" s="390">
        <v>45881.758506944447</v>
      </c>
      <c r="N2569" s="366" t="s">
        <v>356</v>
      </c>
      <c r="O2569" s="367" t="s">
        <v>368</v>
      </c>
      <c r="P2569" s="368" t="s">
        <v>2613</v>
      </c>
      <c r="Q2569" s="366" t="s">
        <v>2154</v>
      </c>
      <c r="R2569" s="366" t="s">
        <v>2154</v>
      </c>
      <c r="S2569" s="366" t="s">
        <v>203</v>
      </c>
    </row>
    <row r="2570" spans="1:19" ht="60" hidden="1" outlineLevel="1">
      <c r="B2570" s="384">
        <v>2026</v>
      </c>
      <c r="C2570" s="384">
        <v>2</v>
      </c>
      <c r="D2570" s="367" t="s">
        <v>5</v>
      </c>
      <c r="E2570" s="367" t="s">
        <v>6</v>
      </c>
      <c r="F2570" s="389" t="s">
        <v>4179</v>
      </c>
      <c r="G2570" s="385">
        <v>45880</v>
      </c>
      <c r="H2570" s="367" t="s">
        <v>11</v>
      </c>
      <c r="I2570" s="368" t="str">
        <f>VLOOKUP(H2570,'Source Codes'!A$2:B$115,2,FALSE)</f>
        <v>AR Payments</v>
      </c>
      <c r="J2570" s="422">
        <v>5975588.3399999999</v>
      </c>
      <c r="K2570" s="385">
        <v>45881</v>
      </c>
      <c r="L2570" s="369" t="s">
        <v>4192</v>
      </c>
      <c r="M2570" s="390">
        <v>45881.752384259256</v>
      </c>
      <c r="N2570" s="366" t="s">
        <v>356</v>
      </c>
      <c r="O2570" s="367" t="s">
        <v>357</v>
      </c>
      <c r="P2570" s="368" t="s">
        <v>2290</v>
      </c>
      <c r="Q2570" s="366" t="s">
        <v>2157</v>
      </c>
      <c r="R2570" s="366" t="s">
        <v>2857</v>
      </c>
      <c r="S2570" s="366" t="s">
        <v>4188</v>
      </c>
    </row>
    <row r="2571" spans="1:19" ht="30" hidden="1" outlineLevel="1">
      <c r="B2571" s="384">
        <v>2025</v>
      </c>
      <c r="C2571" s="384">
        <v>12</v>
      </c>
      <c r="D2571" s="367" t="s">
        <v>5</v>
      </c>
      <c r="E2571" s="367" t="s">
        <v>6</v>
      </c>
      <c r="F2571" s="389" t="s">
        <v>4180</v>
      </c>
      <c r="G2571" s="385">
        <v>45838</v>
      </c>
      <c r="H2571" s="367" t="s">
        <v>9</v>
      </c>
      <c r="I2571" s="368" t="str">
        <f>VLOOKUP(H2571,'Source Codes'!A$2:B$115,2,FALSE)</f>
        <v>On Line Journal Entries</v>
      </c>
      <c r="J2571" s="422">
        <v>11105553</v>
      </c>
      <c r="K2571" s="385">
        <v>45881</v>
      </c>
      <c r="L2571" s="369" t="s">
        <v>4184</v>
      </c>
      <c r="M2571" s="390">
        <v>45881.870416666665</v>
      </c>
      <c r="N2571" s="368" t="s">
        <v>361</v>
      </c>
      <c r="O2571" s="368" t="s">
        <v>357</v>
      </c>
      <c r="P2571" s="368" t="s">
        <v>2290</v>
      </c>
      <c r="Q2571" s="366" t="s">
        <v>2671</v>
      </c>
      <c r="R2571" s="365" t="s">
        <v>4189</v>
      </c>
      <c r="S2571" s="366">
        <v>755900</v>
      </c>
    </row>
    <row r="2572" spans="1:19" ht="30" hidden="1" outlineLevel="1">
      <c r="B2572" s="384">
        <v>2025</v>
      </c>
      <c r="C2572" s="384">
        <v>12</v>
      </c>
      <c r="D2572" s="367" t="s">
        <v>5</v>
      </c>
      <c r="E2572" s="367" t="s">
        <v>6</v>
      </c>
      <c r="F2572" s="389" t="s">
        <v>4181</v>
      </c>
      <c r="G2572" s="385">
        <v>45838</v>
      </c>
      <c r="H2572" s="367" t="s">
        <v>9</v>
      </c>
      <c r="I2572" s="368" t="str">
        <f>VLOOKUP(H2572,'Source Codes'!A$2:B$115,2,FALSE)</f>
        <v>On Line Journal Entries</v>
      </c>
      <c r="J2572" s="422">
        <v>-1244808.6299999999</v>
      </c>
      <c r="K2572" s="385">
        <v>45881</v>
      </c>
      <c r="L2572" s="369" t="s">
        <v>4185</v>
      </c>
      <c r="M2572" s="390">
        <v>45881.870416666665</v>
      </c>
      <c r="N2572" s="366" t="s">
        <v>387</v>
      </c>
      <c r="O2572" s="367" t="s">
        <v>368</v>
      </c>
      <c r="P2572" s="368" t="s">
        <v>2613</v>
      </c>
      <c r="Q2572" s="366" t="s">
        <v>4190</v>
      </c>
      <c r="R2572" s="366" t="s">
        <v>4191</v>
      </c>
      <c r="S2572" s="366">
        <v>522890</v>
      </c>
    </row>
    <row r="2573" spans="1:19" ht="12.75" hidden="1" customHeight="1" outlineLevel="1">
      <c r="B2573" s="384">
        <v>2026</v>
      </c>
      <c r="C2573" s="384">
        <v>2</v>
      </c>
      <c r="D2573" s="367" t="s">
        <v>5</v>
      </c>
      <c r="E2573" s="367" t="s">
        <v>6</v>
      </c>
      <c r="F2573" s="389" t="s">
        <v>4182</v>
      </c>
      <c r="G2573" s="385">
        <v>45876</v>
      </c>
      <c r="H2573" s="367" t="s">
        <v>7</v>
      </c>
      <c r="I2573" s="368" t="str">
        <f>VLOOKUP(H2573,'Source Codes'!A$2:B$115,2,FALSE)</f>
        <v>HRMS Interface Journals</v>
      </c>
      <c r="J2573" s="422">
        <v>-1284830.33</v>
      </c>
      <c r="K2573" s="385">
        <v>45881</v>
      </c>
      <c r="L2573" s="369" t="s">
        <v>406</v>
      </c>
      <c r="M2573" s="390">
        <v>45881.484918981485</v>
      </c>
      <c r="N2573" s="366" t="s">
        <v>378</v>
      </c>
      <c r="O2573" s="367" t="s">
        <v>371</v>
      </c>
      <c r="P2573" s="368" t="s">
        <v>2613</v>
      </c>
      <c r="Q2573" s="366" t="s">
        <v>379</v>
      </c>
      <c r="R2573" s="366" t="s">
        <v>4193</v>
      </c>
      <c r="S2573" s="366" t="s">
        <v>203</v>
      </c>
    </row>
    <row r="2574" spans="1:19" ht="45" hidden="1" outlineLevel="1">
      <c r="B2574" s="384">
        <v>2025</v>
      </c>
      <c r="C2574" s="384">
        <v>12</v>
      </c>
      <c r="D2574" s="367" t="s">
        <v>5</v>
      </c>
      <c r="E2574" s="367" t="s">
        <v>6</v>
      </c>
      <c r="F2574" s="389" t="s">
        <v>4183</v>
      </c>
      <c r="G2574" s="385">
        <v>45838</v>
      </c>
      <c r="H2574" s="367" t="s">
        <v>9</v>
      </c>
      <c r="I2574" s="368" t="str">
        <f>VLOOKUP(H2574,'Source Codes'!A$2:B$115,2,FALSE)</f>
        <v>On Line Journal Entries</v>
      </c>
      <c r="J2574" s="422">
        <v>-1739253.56</v>
      </c>
      <c r="K2574" s="385">
        <v>45881</v>
      </c>
      <c r="L2574" s="369" t="s">
        <v>4186</v>
      </c>
      <c r="M2574" s="390">
        <v>45881.674328703702</v>
      </c>
      <c r="N2574" s="368" t="s">
        <v>361</v>
      </c>
      <c r="O2574" s="368" t="s">
        <v>358</v>
      </c>
      <c r="P2574" s="368" t="s">
        <v>2613</v>
      </c>
      <c r="Q2574" s="366" t="s">
        <v>3185</v>
      </c>
      <c r="R2574" s="365" t="s">
        <v>3185</v>
      </c>
      <c r="S2574" s="366">
        <v>551100</v>
      </c>
    </row>
    <row r="2575" spans="1:19" ht="12.75" customHeight="1" collapsed="1">
      <c r="J2575" s="413">
        <f>SUM(J2569:J2574)</f>
        <v>9914172.6999999993</v>
      </c>
    </row>
    <row r="2577" spans="1:19" ht="12.75" customHeight="1">
      <c r="A2577" s="378" t="s">
        <v>4195</v>
      </c>
    </row>
    <row r="2578" spans="1:19" ht="30" hidden="1" outlineLevel="1">
      <c r="B2578" s="384">
        <v>2026</v>
      </c>
      <c r="C2578" s="384">
        <v>2</v>
      </c>
      <c r="D2578" s="367" t="s">
        <v>5</v>
      </c>
      <c r="E2578" s="367" t="s">
        <v>6</v>
      </c>
      <c r="F2578" s="389" t="s">
        <v>4196</v>
      </c>
      <c r="G2578" s="385">
        <v>45882</v>
      </c>
      <c r="H2578" s="367" t="s">
        <v>14</v>
      </c>
      <c r="I2578" s="368" t="str">
        <f>VLOOKUP(H2578,'Source Codes'!A$2:B$115,2,FALSE)</f>
        <v>AP Warrant Issuance</v>
      </c>
      <c r="J2578" s="422">
        <v>-3242958</v>
      </c>
      <c r="K2578" s="385">
        <v>45882</v>
      </c>
      <c r="L2578" s="369" t="s">
        <v>4203</v>
      </c>
      <c r="M2578" s="390">
        <v>45882.75744212963</v>
      </c>
      <c r="N2578" s="366" t="s">
        <v>356</v>
      </c>
      <c r="O2578" s="367" t="s">
        <v>368</v>
      </c>
      <c r="P2578" s="368" t="s">
        <v>2613</v>
      </c>
      <c r="Q2578" s="366" t="s">
        <v>2154</v>
      </c>
      <c r="R2578" s="366" t="s">
        <v>2154</v>
      </c>
      <c r="S2578" s="366" t="s">
        <v>203</v>
      </c>
    </row>
    <row r="2579" spans="1:19" ht="30" hidden="1" outlineLevel="1">
      <c r="B2579" s="384">
        <v>2026</v>
      </c>
      <c r="C2579" s="384">
        <v>2</v>
      </c>
      <c r="D2579" s="367" t="s">
        <v>5</v>
      </c>
      <c r="E2579" s="367" t="s">
        <v>6</v>
      </c>
      <c r="F2579" s="389" t="s">
        <v>4197</v>
      </c>
      <c r="G2579" s="385">
        <v>45884</v>
      </c>
      <c r="H2579" s="367" t="s">
        <v>14</v>
      </c>
      <c r="I2579" s="368" t="str">
        <f>VLOOKUP(H2579,'Source Codes'!A$2:B$115,2,FALSE)</f>
        <v>AP Warrant Issuance</v>
      </c>
      <c r="J2579" s="422">
        <v>-2189246.5099999998</v>
      </c>
      <c r="K2579" s="385">
        <v>45882</v>
      </c>
      <c r="L2579" s="369" t="s">
        <v>4204</v>
      </c>
      <c r="M2579" s="390">
        <v>45882.75744212963</v>
      </c>
      <c r="N2579" s="366" t="s">
        <v>356</v>
      </c>
      <c r="O2579" s="367" t="s">
        <v>368</v>
      </c>
      <c r="P2579" s="368" t="s">
        <v>2613</v>
      </c>
      <c r="Q2579" s="366" t="s">
        <v>2154</v>
      </c>
      <c r="R2579" s="366" t="s">
        <v>2154</v>
      </c>
      <c r="S2579" s="366" t="s">
        <v>203</v>
      </c>
    </row>
    <row r="2580" spans="1:19" ht="105" hidden="1" outlineLevel="1">
      <c r="B2580" s="384">
        <v>2026</v>
      </c>
      <c r="C2580" s="384">
        <v>2</v>
      </c>
      <c r="D2580" s="367" t="s">
        <v>5</v>
      </c>
      <c r="E2580" s="367" t="s">
        <v>6</v>
      </c>
      <c r="F2580" s="389" t="s">
        <v>4198</v>
      </c>
      <c r="G2580" s="385">
        <v>45882</v>
      </c>
      <c r="H2580" s="367" t="s">
        <v>11</v>
      </c>
      <c r="I2580" s="368" t="str">
        <f>VLOOKUP(H2580,'Source Codes'!A$2:B$115,2,FALSE)</f>
        <v>AR Payments</v>
      </c>
      <c r="J2580" s="422">
        <v>1851544.15</v>
      </c>
      <c r="K2580" s="385">
        <v>45882</v>
      </c>
      <c r="L2580" s="369" t="s">
        <v>4208</v>
      </c>
      <c r="M2580" s="390">
        <v>45882.752222222225</v>
      </c>
      <c r="N2580" s="366" t="s">
        <v>356</v>
      </c>
      <c r="O2580" s="367" t="s">
        <v>357</v>
      </c>
      <c r="P2580" s="368" t="s">
        <v>2290</v>
      </c>
      <c r="Q2580" s="366" t="s">
        <v>2157</v>
      </c>
      <c r="R2580" s="366" t="s">
        <v>2857</v>
      </c>
      <c r="S2580" s="366" t="s">
        <v>3863</v>
      </c>
    </row>
    <row r="2581" spans="1:19" ht="45" hidden="1" outlineLevel="1">
      <c r="B2581" s="384">
        <v>2025</v>
      </c>
      <c r="C2581" s="384">
        <v>12</v>
      </c>
      <c r="D2581" s="367" t="s">
        <v>5</v>
      </c>
      <c r="E2581" s="367" t="s">
        <v>6</v>
      </c>
      <c r="F2581" s="389" t="s">
        <v>4199</v>
      </c>
      <c r="G2581" s="385">
        <v>45838</v>
      </c>
      <c r="H2581" s="367" t="s">
        <v>16</v>
      </c>
      <c r="I2581" s="368" t="str">
        <f>VLOOKUP(H2581,'Source Codes'!A$2:B$115,2,FALSE)</f>
        <v>Property Tax Interface</v>
      </c>
      <c r="J2581" s="422">
        <v>7773057.0800000001</v>
      </c>
      <c r="K2581" s="385">
        <v>45882</v>
      </c>
      <c r="L2581" s="369" t="s">
        <v>4201</v>
      </c>
      <c r="M2581" s="390">
        <v>45882.661307870374</v>
      </c>
      <c r="N2581" s="366" t="s">
        <v>361</v>
      </c>
      <c r="O2581" s="367" t="s">
        <v>384</v>
      </c>
      <c r="P2581" s="368" t="s">
        <v>2290</v>
      </c>
      <c r="Q2581" s="366" t="s">
        <v>4205</v>
      </c>
      <c r="R2581" s="366" t="s">
        <v>4206</v>
      </c>
      <c r="S2581" s="366" t="s">
        <v>4207</v>
      </c>
    </row>
    <row r="2582" spans="1:19" ht="12.75" hidden="1" customHeight="1" outlineLevel="1">
      <c r="B2582" s="384">
        <v>2026</v>
      </c>
      <c r="C2582" s="384">
        <v>2</v>
      </c>
      <c r="D2582" s="367" t="s">
        <v>5</v>
      </c>
      <c r="E2582" s="367" t="s">
        <v>6</v>
      </c>
      <c r="F2582" s="389" t="s">
        <v>4200</v>
      </c>
      <c r="G2582" s="385">
        <v>45880</v>
      </c>
      <c r="H2582" s="367" t="s">
        <v>13</v>
      </c>
      <c r="I2582" s="368" t="str">
        <f>VLOOKUP(H2582,'Source Codes'!A$2:B$115,2,FALSE)</f>
        <v>C-IV Voucher/Payments/EBT</v>
      </c>
      <c r="J2582" s="422">
        <v>-1210584.28</v>
      </c>
      <c r="K2582" s="385">
        <v>45882</v>
      </c>
      <c r="L2582" s="369" t="s">
        <v>4202</v>
      </c>
      <c r="M2582" s="390">
        <v>45882.870266203703</v>
      </c>
      <c r="N2582" s="368" t="s">
        <v>359</v>
      </c>
      <c r="O2582" s="368" t="s">
        <v>364</v>
      </c>
      <c r="P2582" s="368" t="s">
        <v>2613</v>
      </c>
      <c r="Q2582" s="366" t="s">
        <v>2204</v>
      </c>
      <c r="R2582" s="365">
        <v>45870</v>
      </c>
      <c r="S2582" s="366">
        <v>530480</v>
      </c>
    </row>
    <row r="2583" spans="1:19" ht="12.75" customHeight="1" collapsed="1">
      <c r="J2583" s="413">
        <f>SUM(J2578:J2582)</f>
        <v>2981812.4400000004</v>
      </c>
    </row>
    <row r="2585" spans="1:19" ht="12.75" customHeight="1">
      <c r="A2585" s="378" t="s">
        <v>4209</v>
      </c>
    </row>
    <row r="2586" spans="1:19" ht="105" hidden="1" outlineLevel="1">
      <c r="B2586" s="384">
        <v>2026</v>
      </c>
      <c r="C2586" s="384">
        <v>2</v>
      </c>
      <c r="D2586" s="367" t="s">
        <v>5</v>
      </c>
      <c r="E2586" s="367" t="s">
        <v>6</v>
      </c>
      <c r="F2586" s="389" t="s">
        <v>4210</v>
      </c>
      <c r="G2586" s="385">
        <v>45883</v>
      </c>
      <c r="H2586" s="367" t="s">
        <v>14</v>
      </c>
      <c r="I2586" s="368" t="str">
        <f>VLOOKUP(H2586,'Source Codes'!A$2:B$115,2,FALSE)</f>
        <v>AP Warrant Issuance</v>
      </c>
      <c r="J2586" s="422">
        <v>-8265227.9400000004</v>
      </c>
      <c r="K2586" s="385">
        <v>45883</v>
      </c>
      <c r="L2586" s="369" t="s">
        <v>4228</v>
      </c>
      <c r="M2586" s="390">
        <v>45883.75980324074</v>
      </c>
      <c r="N2586" s="366" t="s">
        <v>356</v>
      </c>
      <c r="O2586" s="367" t="s">
        <v>368</v>
      </c>
      <c r="P2586" s="368" t="str">
        <f t="shared" ref="P2586:P2598" si="45">IF(J2586&gt;0,"Revenue",IF(J2586&lt;0,"Expense"))</f>
        <v>Expense</v>
      </c>
      <c r="Q2586" s="366" t="s">
        <v>2154</v>
      </c>
      <c r="R2586" s="366" t="s">
        <v>2154</v>
      </c>
      <c r="S2586" s="366">
        <v>530280</v>
      </c>
    </row>
    <row r="2587" spans="1:19" ht="60" hidden="1" outlineLevel="1">
      <c r="B2587" s="384">
        <v>2026</v>
      </c>
      <c r="C2587" s="384">
        <v>2</v>
      </c>
      <c r="D2587" s="367" t="s">
        <v>5</v>
      </c>
      <c r="E2587" s="367" t="s">
        <v>6</v>
      </c>
      <c r="F2587" s="389" t="s">
        <v>4211</v>
      </c>
      <c r="G2587" s="385">
        <v>45887</v>
      </c>
      <c r="H2587" s="367" t="s">
        <v>14</v>
      </c>
      <c r="I2587" s="368" t="str">
        <f>VLOOKUP(H2587,'Source Codes'!A$2:B$115,2,FALSE)</f>
        <v>AP Warrant Issuance</v>
      </c>
      <c r="J2587" s="422">
        <v>-5926251.3600000003</v>
      </c>
      <c r="K2587" s="385">
        <v>45883</v>
      </c>
      <c r="L2587" s="369" t="s">
        <v>4238</v>
      </c>
      <c r="M2587" s="390">
        <v>45883.75980324074</v>
      </c>
      <c r="N2587" s="366" t="s">
        <v>356</v>
      </c>
      <c r="O2587" s="367" t="s">
        <v>364</v>
      </c>
      <c r="P2587" s="368" t="str">
        <f t="shared" si="45"/>
        <v>Expense</v>
      </c>
      <c r="Q2587" s="366" t="s">
        <v>2254</v>
      </c>
      <c r="R2587" s="365">
        <v>45870</v>
      </c>
      <c r="S2587" s="366">
        <v>530440</v>
      </c>
    </row>
    <row r="2588" spans="1:19" ht="75" hidden="1" outlineLevel="1">
      <c r="B2588" s="384">
        <v>2026</v>
      </c>
      <c r="C2588" s="384">
        <v>2</v>
      </c>
      <c r="D2588" s="367" t="s">
        <v>5</v>
      </c>
      <c r="E2588" s="367" t="s">
        <v>6</v>
      </c>
      <c r="F2588" s="389" t="s">
        <v>4212</v>
      </c>
      <c r="G2588" s="385">
        <v>45887</v>
      </c>
      <c r="H2588" s="367" t="s">
        <v>14</v>
      </c>
      <c r="I2588" s="368" t="str">
        <f>VLOOKUP(H2588,'Source Codes'!A$2:B$115,2,FALSE)</f>
        <v>AP Warrant Issuance</v>
      </c>
      <c r="J2588" s="422">
        <v>-2348586.4700000002</v>
      </c>
      <c r="K2588" s="385">
        <v>45883</v>
      </c>
      <c r="L2588" s="369" t="s">
        <v>4239</v>
      </c>
      <c r="M2588" s="390">
        <v>45883.75980324074</v>
      </c>
      <c r="N2588" s="366" t="s">
        <v>356</v>
      </c>
      <c r="O2588" s="367" t="s">
        <v>368</v>
      </c>
      <c r="P2588" s="368" t="str">
        <f t="shared" si="45"/>
        <v>Expense</v>
      </c>
      <c r="Q2588" s="366" t="s">
        <v>2154</v>
      </c>
      <c r="R2588" s="366" t="s">
        <v>2154</v>
      </c>
      <c r="S2588" s="366">
        <v>530280</v>
      </c>
    </row>
    <row r="2589" spans="1:19" ht="30" hidden="1" outlineLevel="1">
      <c r="B2589" s="384">
        <v>2026</v>
      </c>
      <c r="C2589" s="384">
        <v>2</v>
      </c>
      <c r="D2589" s="367" t="s">
        <v>5</v>
      </c>
      <c r="E2589" s="367" t="s">
        <v>6</v>
      </c>
      <c r="F2589" s="389" t="s">
        <v>4213</v>
      </c>
      <c r="G2589" s="385">
        <v>45883</v>
      </c>
      <c r="H2589" s="367" t="s">
        <v>14</v>
      </c>
      <c r="I2589" s="368" t="str">
        <f>VLOOKUP(H2589,'Source Codes'!A$2:B$115,2,FALSE)</f>
        <v>AP Warrant Issuance</v>
      </c>
      <c r="J2589" s="422">
        <v>-1454886.49</v>
      </c>
      <c r="K2589" s="385">
        <v>45883</v>
      </c>
      <c r="L2589" s="369" t="s">
        <v>4240</v>
      </c>
      <c r="M2589" s="390">
        <v>45883.75980324074</v>
      </c>
      <c r="N2589" s="366" t="s">
        <v>2185</v>
      </c>
      <c r="O2589" s="367" t="s">
        <v>375</v>
      </c>
      <c r="P2589" s="368" t="str">
        <f t="shared" si="45"/>
        <v>Expense</v>
      </c>
      <c r="Q2589" s="366" t="s">
        <v>2255</v>
      </c>
      <c r="R2589" s="366" t="s">
        <v>2255</v>
      </c>
      <c r="S2589" s="366" t="s">
        <v>4241</v>
      </c>
    </row>
    <row r="2590" spans="1:19" ht="30" hidden="1" outlineLevel="1">
      <c r="B2590" s="384">
        <v>2026</v>
      </c>
      <c r="C2590" s="384">
        <v>2</v>
      </c>
      <c r="D2590" s="367" t="s">
        <v>5</v>
      </c>
      <c r="E2590" s="367" t="s">
        <v>6</v>
      </c>
      <c r="F2590" s="389" t="s">
        <v>4214</v>
      </c>
      <c r="G2590" s="385">
        <v>45883</v>
      </c>
      <c r="H2590" s="367" t="s">
        <v>11</v>
      </c>
      <c r="I2590" s="368" t="str">
        <f>VLOOKUP(H2590,'Source Codes'!A$2:B$115,2,FALSE)</f>
        <v>AR Payments</v>
      </c>
      <c r="J2590" s="422">
        <v>2319987.4700000002</v>
      </c>
      <c r="K2590" s="385">
        <v>45883</v>
      </c>
      <c r="L2590" s="369" t="s">
        <v>4242</v>
      </c>
      <c r="M2590" s="390">
        <v>45883.752222222225</v>
      </c>
      <c r="N2590" s="366" t="s">
        <v>356</v>
      </c>
      <c r="O2590" s="367" t="s">
        <v>362</v>
      </c>
      <c r="P2590" s="368" t="str">
        <f t="shared" si="45"/>
        <v>Revenue</v>
      </c>
      <c r="Q2590" s="366" t="s">
        <v>2360</v>
      </c>
      <c r="R2590" s="366" t="s">
        <v>3049</v>
      </c>
      <c r="S2590" s="366" t="s">
        <v>2361</v>
      </c>
    </row>
    <row r="2591" spans="1:19" ht="30" hidden="1" outlineLevel="1">
      <c r="B2591" s="384">
        <v>2025</v>
      </c>
      <c r="C2591" s="384">
        <v>12</v>
      </c>
      <c r="D2591" s="367" t="s">
        <v>5</v>
      </c>
      <c r="E2591" s="367" t="s">
        <v>6</v>
      </c>
      <c r="F2591" s="389" t="s">
        <v>4215</v>
      </c>
      <c r="G2591" s="385">
        <v>45838</v>
      </c>
      <c r="H2591" s="367" t="s">
        <v>9</v>
      </c>
      <c r="I2591" s="368" t="str">
        <f>VLOOKUP(H2591,'Source Codes'!A$2:B$115,2,FALSE)</f>
        <v>On Line Journal Entries</v>
      </c>
      <c r="J2591" s="422">
        <v>18562071.760000002</v>
      </c>
      <c r="K2591" s="385">
        <v>45883</v>
      </c>
      <c r="L2591" s="369" t="s">
        <v>4223</v>
      </c>
      <c r="M2591" s="390">
        <v>45883.646736111114</v>
      </c>
      <c r="N2591" s="366" t="s">
        <v>361</v>
      </c>
      <c r="O2591" s="367" t="s">
        <v>376</v>
      </c>
      <c r="P2591" s="368" t="str">
        <f t="shared" si="45"/>
        <v>Revenue</v>
      </c>
      <c r="Q2591" s="366" t="s">
        <v>4230</v>
      </c>
      <c r="R2591" s="366" t="s">
        <v>4231</v>
      </c>
      <c r="S2591" s="366" t="s">
        <v>4229</v>
      </c>
    </row>
    <row r="2592" spans="1:19" ht="15" hidden="1" outlineLevel="1">
      <c r="B2592" s="384">
        <v>2025</v>
      </c>
      <c r="C2592" s="384">
        <v>12</v>
      </c>
      <c r="D2592" s="367" t="s">
        <v>5</v>
      </c>
      <c r="E2592" s="367" t="s">
        <v>6</v>
      </c>
      <c r="F2592" s="389" t="s">
        <v>4216</v>
      </c>
      <c r="G2592" s="385">
        <v>45838</v>
      </c>
      <c r="H2592" s="367" t="s">
        <v>9</v>
      </c>
      <c r="I2592" s="368" t="str">
        <f>VLOOKUP(H2592,'Source Codes'!A$2:B$115,2,FALSE)</f>
        <v>On Line Journal Entries</v>
      </c>
      <c r="J2592" s="422">
        <v>7370538.79</v>
      </c>
      <c r="K2592" s="385">
        <v>45883</v>
      </c>
      <c r="L2592" s="369" t="s">
        <v>4224</v>
      </c>
      <c r="M2592" s="390">
        <v>45883.778958333336</v>
      </c>
      <c r="N2592" s="366" t="s">
        <v>507</v>
      </c>
      <c r="O2592" s="367" t="s">
        <v>376</v>
      </c>
      <c r="P2592" s="368" t="str">
        <f t="shared" si="45"/>
        <v>Revenue</v>
      </c>
      <c r="Q2592" s="366" t="s">
        <v>2915</v>
      </c>
      <c r="R2592" s="366" t="s">
        <v>2915</v>
      </c>
      <c r="S2592" s="366">
        <v>755180</v>
      </c>
    </row>
    <row r="2593" spans="1:19" ht="30" hidden="1" outlineLevel="1">
      <c r="B2593" s="384">
        <v>2025</v>
      </c>
      <c r="C2593" s="384">
        <v>12</v>
      </c>
      <c r="D2593" s="367" t="s">
        <v>5</v>
      </c>
      <c r="E2593" s="367" t="s">
        <v>6</v>
      </c>
      <c r="F2593" s="389" t="s">
        <v>4217</v>
      </c>
      <c r="G2593" s="385">
        <v>45838</v>
      </c>
      <c r="H2593" s="367" t="s">
        <v>9</v>
      </c>
      <c r="I2593" s="368" t="str">
        <f>VLOOKUP(H2593,'Source Codes'!A$2:B$115,2,FALSE)</f>
        <v>On Line Journal Entries</v>
      </c>
      <c r="J2593" s="422">
        <v>6000389.2800000003</v>
      </c>
      <c r="K2593" s="385">
        <v>45883</v>
      </c>
      <c r="L2593" s="369" t="s">
        <v>4225</v>
      </c>
      <c r="M2593" s="390">
        <v>45883.646041666667</v>
      </c>
      <c r="N2593" s="366" t="s">
        <v>361</v>
      </c>
      <c r="O2593" s="367" t="s">
        <v>376</v>
      </c>
      <c r="P2593" s="368" t="str">
        <f t="shared" si="45"/>
        <v>Revenue</v>
      </c>
      <c r="Q2593" s="366" t="s">
        <v>2657</v>
      </c>
      <c r="R2593" s="366" t="s">
        <v>4234</v>
      </c>
      <c r="S2593" s="366" t="s">
        <v>4233</v>
      </c>
    </row>
    <row r="2594" spans="1:19" ht="30" hidden="1" outlineLevel="1">
      <c r="B2594" s="384">
        <v>2025</v>
      </c>
      <c r="C2594" s="384">
        <v>12</v>
      </c>
      <c r="D2594" s="367" t="s">
        <v>5</v>
      </c>
      <c r="E2594" s="367" t="s">
        <v>6</v>
      </c>
      <c r="F2594" s="389" t="s">
        <v>4218</v>
      </c>
      <c r="G2594" s="385">
        <v>45838</v>
      </c>
      <c r="H2594" s="367" t="s">
        <v>16</v>
      </c>
      <c r="I2594" s="368" t="str">
        <f>VLOOKUP(H2594,'Source Codes'!A$2:B$115,2,FALSE)</f>
        <v>Property Tax Interface</v>
      </c>
      <c r="J2594" s="422">
        <v>2258335.73</v>
      </c>
      <c r="K2594" s="385">
        <v>45883</v>
      </c>
      <c r="L2594" s="369" t="s">
        <v>4226</v>
      </c>
      <c r="M2594" s="390">
        <v>45883.732106481482</v>
      </c>
      <c r="N2594" s="366" t="s">
        <v>387</v>
      </c>
      <c r="O2594" s="367" t="s">
        <v>384</v>
      </c>
      <c r="P2594" s="368" t="str">
        <f t="shared" si="45"/>
        <v>Revenue</v>
      </c>
      <c r="Q2594" s="366" t="s">
        <v>4235</v>
      </c>
      <c r="R2594" s="366" t="s">
        <v>4236</v>
      </c>
      <c r="S2594" s="366" t="s">
        <v>4237</v>
      </c>
    </row>
    <row r="2595" spans="1:19" ht="30" hidden="1" outlineLevel="1">
      <c r="B2595" s="384">
        <v>2025</v>
      </c>
      <c r="C2595" s="384">
        <v>12</v>
      </c>
      <c r="D2595" s="367" t="s">
        <v>5</v>
      </c>
      <c r="E2595" s="367" t="s">
        <v>6</v>
      </c>
      <c r="F2595" s="389" t="s">
        <v>4219</v>
      </c>
      <c r="G2595" s="385">
        <v>45838</v>
      </c>
      <c r="H2595" s="367" t="s">
        <v>16</v>
      </c>
      <c r="I2595" s="368" t="str">
        <f>VLOOKUP(H2595,'Source Codes'!A$2:B$115,2,FALSE)</f>
        <v>Property Tax Interface</v>
      </c>
      <c r="J2595" s="422">
        <v>1015740.75</v>
      </c>
      <c r="K2595" s="385">
        <v>45883</v>
      </c>
      <c r="L2595" s="369" t="s">
        <v>4227</v>
      </c>
      <c r="M2595" s="390">
        <v>45883.645243055558</v>
      </c>
      <c r="N2595" s="366" t="s">
        <v>387</v>
      </c>
      <c r="O2595" s="367" t="s">
        <v>384</v>
      </c>
      <c r="P2595" s="368" t="str">
        <f t="shared" si="45"/>
        <v>Revenue</v>
      </c>
      <c r="Q2595" s="366" t="s">
        <v>2946</v>
      </c>
      <c r="R2595" s="366" t="s">
        <v>4243</v>
      </c>
      <c r="S2595" s="366" t="s">
        <v>2829</v>
      </c>
    </row>
    <row r="2596" spans="1:19" ht="15" hidden="1" outlineLevel="1">
      <c r="B2596" s="384">
        <v>2026</v>
      </c>
      <c r="C2596" s="384">
        <v>2</v>
      </c>
      <c r="D2596" s="367" t="s">
        <v>5</v>
      </c>
      <c r="E2596" s="367" t="s">
        <v>6</v>
      </c>
      <c r="F2596" s="389" t="s">
        <v>4220</v>
      </c>
      <c r="G2596" s="385">
        <v>45875</v>
      </c>
      <c r="H2596" s="367" t="s">
        <v>7</v>
      </c>
      <c r="I2596" s="368" t="str">
        <f>VLOOKUP(H2596,'Source Codes'!A$2:B$115,2,FALSE)</f>
        <v>HRMS Interface Journals</v>
      </c>
      <c r="J2596" s="422">
        <v>-2560808.84</v>
      </c>
      <c r="K2596" s="385">
        <v>45883</v>
      </c>
      <c r="L2596" s="369" t="s">
        <v>409</v>
      </c>
      <c r="M2596" s="390">
        <v>45883.325208333335</v>
      </c>
      <c r="N2596" s="366" t="s">
        <v>378</v>
      </c>
      <c r="O2596" s="367" t="s">
        <v>379</v>
      </c>
      <c r="P2596" s="368" t="str">
        <f t="shared" si="45"/>
        <v>Expense</v>
      </c>
      <c r="Q2596" s="366" t="s">
        <v>379</v>
      </c>
      <c r="R2596" s="366" t="s">
        <v>4193</v>
      </c>
      <c r="S2596" s="366">
        <v>513120</v>
      </c>
    </row>
    <row r="2597" spans="1:19" ht="15" hidden="1" outlineLevel="1">
      <c r="B2597" s="384">
        <v>2026</v>
      </c>
      <c r="C2597" s="384">
        <v>2</v>
      </c>
      <c r="D2597" s="367" t="s">
        <v>5</v>
      </c>
      <c r="E2597" s="367" t="s">
        <v>6</v>
      </c>
      <c r="F2597" s="389" t="s">
        <v>4221</v>
      </c>
      <c r="G2597" s="385">
        <v>45875</v>
      </c>
      <c r="H2597" s="367" t="s">
        <v>7</v>
      </c>
      <c r="I2597" s="368" t="str">
        <f>VLOOKUP(H2597,'Source Codes'!A$2:B$115,2,FALSE)</f>
        <v>HRMS Interface Journals</v>
      </c>
      <c r="J2597" s="422">
        <v>-10223887.92</v>
      </c>
      <c r="K2597" s="385">
        <v>45883</v>
      </c>
      <c r="L2597" s="369" t="s">
        <v>407</v>
      </c>
      <c r="M2597" s="390">
        <v>45883.319201388891</v>
      </c>
      <c r="N2597" s="366" t="s">
        <v>378</v>
      </c>
      <c r="O2597" s="367" t="s">
        <v>379</v>
      </c>
      <c r="P2597" s="368" t="str">
        <f t="shared" si="45"/>
        <v>Expense</v>
      </c>
      <c r="Q2597" s="366" t="s">
        <v>379</v>
      </c>
      <c r="R2597" s="366" t="s">
        <v>4193</v>
      </c>
      <c r="S2597" s="366" t="s">
        <v>203</v>
      </c>
    </row>
    <row r="2598" spans="1:19" ht="15" hidden="1" outlineLevel="1">
      <c r="B2598" s="384">
        <v>2026</v>
      </c>
      <c r="C2598" s="384">
        <v>2</v>
      </c>
      <c r="D2598" s="367" t="s">
        <v>5</v>
      </c>
      <c r="E2598" s="367" t="s">
        <v>6</v>
      </c>
      <c r="F2598" s="389" t="s">
        <v>4222</v>
      </c>
      <c r="G2598" s="385">
        <v>45875</v>
      </c>
      <c r="H2598" s="367" t="s">
        <v>7</v>
      </c>
      <c r="I2598" s="368" t="str">
        <f>VLOOKUP(H2598,'Source Codes'!A$2:B$115,2,FALSE)</f>
        <v>HRMS Interface Journals</v>
      </c>
      <c r="J2598" s="422">
        <v>-72790169.230000004</v>
      </c>
      <c r="K2598" s="385">
        <v>45883</v>
      </c>
      <c r="L2598" s="369" t="s">
        <v>406</v>
      </c>
      <c r="M2598" s="390">
        <v>45883.322002314817</v>
      </c>
      <c r="N2598" s="366" t="s">
        <v>378</v>
      </c>
      <c r="O2598" s="367" t="s">
        <v>371</v>
      </c>
      <c r="P2598" s="368" t="str">
        <f t="shared" si="45"/>
        <v>Expense</v>
      </c>
      <c r="Q2598" s="366" t="s">
        <v>379</v>
      </c>
      <c r="R2598" s="366" t="s">
        <v>4193</v>
      </c>
      <c r="S2598" s="366" t="s">
        <v>203</v>
      </c>
    </row>
    <row r="2599" spans="1:19" ht="12.75" customHeight="1" collapsed="1">
      <c r="I2599" s="368"/>
      <c r="J2599" s="413">
        <f>SUM(J2586:J2598)</f>
        <v>-66042754.469999999</v>
      </c>
      <c r="P2599" s="368"/>
    </row>
    <row r="2600" spans="1:19" ht="12.75" customHeight="1">
      <c r="I2600" s="368"/>
      <c r="P2600" s="368"/>
    </row>
    <row r="2601" spans="1:19" ht="12.75" customHeight="1">
      <c r="A2601" s="378" t="s">
        <v>4244</v>
      </c>
      <c r="I2601" s="368"/>
      <c r="P2601" s="368"/>
    </row>
    <row r="2602" spans="1:19" ht="30" hidden="1" outlineLevel="1">
      <c r="B2602" s="384">
        <v>2026</v>
      </c>
      <c r="C2602" s="384">
        <v>2</v>
      </c>
      <c r="D2602" s="367" t="s">
        <v>5</v>
      </c>
      <c r="E2602" s="367" t="s">
        <v>6</v>
      </c>
      <c r="F2602" s="389" t="s">
        <v>4246</v>
      </c>
      <c r="G2602" s="385">
        <v>45888</v>
      </c>
      <c r="H2602" s="367" t="s">
        <v>14</v>
      </c>
      <c r="I2602" s="368" t="str">
        <f>VLOOKUP(H2602,'Source Codes'!A$2:B$115,2,FALSE)</f>
        <v>AP Warrant Issuance</v>
      </c>
      <c r="J2602" s="422">
        <v>-1252787.47</v>
      </c>
      <c r="K2602" s="385">
        <v>45884</v>
      </c>
      <c r="L2602" s="369" t="s">
        <v>4248</v>
      </c>
      <c r="M2602" s="390">
        <v>45884.757430555554</v>
      </c>
      <c r="N2602" s="366" t="s">
        <v>356</v>
      </c>
      <c r="O2602" s="367" t="s">
        <v>368</v>
      </c>
      <c r="P2602" s="368" t="str">
        <f t="shared" ref="P2602:P2637" si="46">IF(J2602&gt;0,"Revenue",IF(J2602&lt;0,"Expense"))</f>
        <v>Expense</v>
      </c>
      <c r="Q2602" s="366" t="s">
        <v>2154</v>
      </c>
      <c r="R2602" s="366" t="s">
        <v>2154</v>
      </c>
      <c r="S2602" s="366" t="s">
        <v>203</v>
      </c>
    </row>
    <row r="2603" spans="1:19" ht="30" hidden="1" outlineLevel="1">
      <c r="B2603" s="384">
        <v>2026</v>
      </c>
      <c r="C2603" s="384">
        <v>2</v>
      </c>
      <c r="D2603" s="367" t="s">
        <v>5</v>
      </c>
      <c r="E2603" s="367" t="s">
        <v>6</v>
      </c>
      <c r="F2603" s="389" t="s">
        <v>4247</v>
      </c>
      <c r="G2603" s="385">
        <v>45888</v>
      </c>
      <c r="H2603" s="367" t="s">
        <v>14</v>
      </c>
      <c r="I2603" s="368" t="str">
        <f>VLOOKUP(H2603,'Source Codes'!A$2:B$115,2,FALSE)</f>
        <v>AP Warrant Issuance</v>
      </c>
      <c r="J2603" s="422">
        <v>-1230540.93</v>
      </c>
      <c r="K2603" s="385">
        <v>45884</v>
      </c>
      <c r="L2603" s="369" t="s">
        <v>4249</v>
      </c>
      <c r="M2603" s="390">
        <v>45884.757430555554</v>
      </c>
      <c r="N2603" s="366" t="s">
        <v>2185</v>
      </c>
      <c r="O2603" s="367" t="s">
        <v>358</v>
      </c>
      <c r="P2603" s="368" t="str">
        <f t="shared" si="46"/>
        <v>Expense</v>
      </c>
      <c r="Q2603" s="366" t="s">
        <v>4250</v>
      </c>
      <c r="R2603" s="366" t="s">
        <v>4250</v>
      </c>
      <c r="S2603" s="366" t="s">
        <v>203</v>
      </c>
    </row>
    <row r="2604" spans="1:19" ht="75" hidden="1" outlineLevel="1">
      <c r="B2604" s="384">
        <v>2026</v>
      </c>
      <c r="C2604" s="384">
        <v>2</v>
      </c>
      <c r="D2604" s="367" t="s">
        <v>5</v>
      </c>
      <c r="E2604" s="367" t="s">
        <v>6</v>
      </c>
      <c r="F2604" s="389" t="s">
        <v>4251</v>
      </c>
      <c r="G2604" s="385">
        <v>45883</v>
      </c>
      <c r="H2604" s="367" t="s">
        <v>11</v>
      </c>
      <c r="I2604" s="368" t="str">
        <f>VLOOKUP(H2604,'Source Codes'!A$2:B$115,2,FALSE)</f>
        <v>AR Payments</v>
      </c>
      <c r="J2604" s="422">
        <v>2930157.15</v>
      </c>
      <c r="K2604" s="385">
        <v>45884</v>
      </c>
      <c r="L2604" s="369" t="s">
        <v>4253</v>
      </c>
      <c r="M2604" s="390">
        <v>45884.752025462964</v>
      </c>
      <c r="N2604" s="366" t="s">
        <v>356</v>
      </c>
      <c r="O2604" s="367" t="s">
        <v>357</v>
      </c>
      <c r="P2604" s="368" t="str">
        <f t="shared" si="46"/>
        <v>Revenue</v>
      </c>
      <c r="Q2604" s="366" t="s">
        <v>2157</v>
      </c>
      <c r="R2604" s="366" t="s">
        <v>2857</v>
      </c>
      <c r="S2604" s="366" t="s">
        <v>2531</v>
      </c>
    </row>
    <row r="2605" spans="1:19" ht="60" hidden="1" outlineLevel="1">
      <c r="B2605" s="384">
        <v>2026</v>
      </c>
      <c r="C2605" s="384">
        <v>2</v>
      </c>
      <c r="D2605" s="367" t="s">
        <v>5</v>
      </c>
      <c r="E2605" s="367" t="s">
        <v>6</v>
      </c>
      <c r="F2605" s="389" t="s">
        <v>4252</v>
      </c>
      <c r="G2605" s="385">
        <v>45884</v>
      </c>
      <c r="H2605" s="367" t="s">
        <v>11</v>
      </c>
      <c r="I2605" s="368" t="str">
        <f>VLOOKUP(H2605,'Source Codes'!A$2:B$115,2,FALSE)</f>
        <v>AR Payments</v>
      </c>
      <c r="J2605" s="422">
        <v>11799634.08</v>
      </c>
      <c r="K2605" s="385">
        <v>45884</v>
      </c>
      <c r="L2605" s="369" t="s">
        <v>4259</v>
      </c>
      <c r="M2605" s="390">
        <v>45884.752025462964</v>
      </c>
      <c r="N2605" s="366" t="s">
        <v>356</v>
      </c>
      <c r="O2605" s="367" t="s">
        <v>362</v>
      </c>
      <c r="P2605" s="368" t="str">
        <f t="shared" si="46"/>
        <v>Revenue</v>
      </c>
      <c r="Q2605" s="366" t="s">
        <v>2360</v>
      </c>
      <c r="R2605" s="366" t="s">
        <v>2715</v>
      </c>
      <c r="S2605" s="366">
        <v>118301</v>
      </c>
    </row>
    <row r="2606" spans="1:19" ht="30" hidden="1" outlineLevel="1">
      <c r="B2606" s="384">
        <v>2026</v>
      </c>
      <c r="C2606" s="384">
        <v>2</v>
      </c>
      <c r="D2606" s="367" t="s">
        <v>5</v>
      </c>
      <c r="E2606" s="367" t="s">
        <v>6</v>
      </c>
      <c r="F2606" s="389" t="s">
        <v>4254</v>
      </c>
      <c r="G2606" s="385">
        <v>45880</v>
      </c>
      <c r="H2606" s="367" t="s">
        <v>9</v>
      </c>
      <c r="I2606" s="368" t="str">
        <f>VLOOKUP(H2606,'Source Codes'!A$2:B$115,2,FALSE)</f>
        <v>On Line Journal Entries</v>
      </c>
      <c r="J2606" s="422">
        <v>8414751</v>
      </c>
      <c r="K2606" s="385">
        <v>45884</v>
      </c>
      <c r="L2606" s="369" t="s">
        <v>344</v>
      </c>
      <c r="M2606" s="390">
        <v>45884.870138888888</v>
      </c>
      <c r="N2606" s="366" t="s">
        <v>356</v>
      </c>
      <c r="O2606" s="367" t="s">
        <v>364</v>
      </c>
      <c r="P2606" s="368" t="str">
        <f t="shared" si="46"/>
        <v>Revenue</v>
      </c>
      <c r="Q2606" s="366" t="s">
        <v>2232</v>
      </c>
      <c r="R2606" s="366" t="s">
        <v>2232</v>
      </c>
      <c r="S2606" s="366" t="s">
        <v>2533</v>
      </c>
    </row>
    <row r="2607" spans="1:19" ht="30" hidden="1" outlineLevel="1">
      <c r="B2607" s="384">
        <v>2026</v>
      </c>
      <c r="C2607" s="384">
        <v>2</v>
      </c>
      <c r="D2607" s="367" t="s">
        <v>5</v>
      </c>
      <c r="E2607" s="367" t="s">
        <v>6</v>
      </c>
      <c r="F2607" s="389" t="s">
        <v>4255</v>
      </c>
      <c r="G2607" s="385">
        <v>45880</v>
      </c>
      <c r="H2607" s="367" t="s">
        <v>9</v>
      </c>
      <c r="I2607" s="368" t="str">
        <f>VLOOKUP(H2607,'Source Codes'!A$2:B$115,2,FALSE)</f>
        <v>On Line Journal Entries</v>
      </c>
      <c r="J2607" s="422">
        <v>1954460</v>
      </c>
      <c r="K2607" s="385">
        <v>45884</v>
      </c>
      <c r="L2607" s="369" t="s">
        <v>344</v>
      </c>
      <c r="M2607" s="390">
        <v>45884.870138888888</v>
      </c>
      <c r="N2607" s="366" t="s">
        <v>356</v>
      </c>
      <c r="O2607" s="367" t="s">
        <v>364</v>
      </c>
      <c r="P2607" s="368" t="str">
        <f t="shared" si="46"/>
        <v>Revenue</v>
      </c>
      <c r="Q2607" s="366" t="s">
        <v>2232</v>
      </c>
      <c r="R2607" s="366" t="s">
        <v>2232</v>
      </c>
      <c r="S2607" s="366" t="s">
        <v>2533</v>
      </c>
    </row>
    <row r="2608" spans="1:19" ht="75" hidden="1" outlineLevel="1">
      <c r="B2608" s="384">
        <v>2025</v>
      </c>
      <c r="C2608" s="384">
        <v>12</v>
      </c>
      <c r="D2608" s="367" t="s">
        <v>5</v>
      </c>
      <c r="E2608" s="367" t="s">
        <v>6</v>
      </c>
      <c r="F2608" s="389" t="s">
        <v>4319</v>
      </c>
      <c r="G2608" s="385">
        <v>45838</v>
      </c>
      <c r="H2608" s="367" t="s">
        <v>9</v>
      </c>
      <c r="I2608" s="368" t="str">
        <f>VLOOKUP(H2608,'[3]Source Codes'!A$2:B$115,2,FALSE)</f>
        <v>On Line Journal Entries</v>
      </c>
      <c r="J2608" s="422">
        <v>-6575134</v>
      </c>
      <c r="K2608" s="385">
        <v>45884</v>
      </c>
      <c r="L2608" s="369" t="s">
        <v>4320</v>
      </c>
      <c r="M2608" s="390">
        <v>45884.40315972222</v>
      </c>
      <c r="N2608" s="366" t="s">
        <v>2185</v>
      </c>
      <c r="O2608" s="367" t="s">
        <v>358</v>
      </c>
      <c r="P2608" s="368" t="str">
        <f>IF(J2608&gt;0,"Revenue",IF(J2608&lt;0,"Expense"))</f>
        <v>Expense</v>
      </c>
      <c r="Q2608" s="366" t="s">
        <v>4321</v>
      </c>
      <c r="R2608" s="366" t="s">
        <v>4321</v>
      </c>
      <c r="S2608" s="366">
        <v>551100</v>
      </c>
    </row>
    <row r="2609" spans="1:19" ht="30" hidden="1" outlineLevel="1">
      <c r="B2609" s="384">
        <v>2025</v>
      </c>
      <c r="C2609" s="384">
        <v>12</v>
      </c>
      <c r="D2609" s="367" t="s">
        <v>5</v>
      </c>
      <c r="E2609" s="367" t="s">
        <v>6</v>
      </c>
      <c r="F2609" s="389" t="s">
        <v>4256</v>
      </c>
      <c r="G2609" s="385">
        <v>45838</v>
      </c>
      <c r="H2609" s="367" t="s">
        <v>9</v>
      </c>
      <c r="I2609" s="368" t="str">
        <f>VLOOKUP(H2609,'Source Codes'!A$2:B$115,2,FALSE)</f>
        <v>On Line Journal Entries</v>
      </c>
      <c r="J2609" s="422">
        <v>-10739791.76</v>
      </c>
      <c r="K2609" s="385">
        <v>45884</v>
      </c>
      <c r="L2609" s="369" t="s">
        <v>4257</v>
      </c>
      <c r="M2609" s="390">
        <v>45884.870138888888</v>
      </c>
      <c r="N2609" s="366" t="s">
        <v>387</v>
      </c>
      <c r="O2609" s="367" t="s">
        <v>368</v>
      </c>
      <c r="P2609" s="368" t="str">
        <f t="shared" si="46"/>
        <v>Expense</v>
      </c>
      <c r="Q2609" s="366" t="s">
        <v>4258</v>
      </c>
      <c r="R2609" s="366" t="s">
        <v>4258</v>
      </c>
      <c r="S2609" s="366">
        <v>751500</v>
      </c>
    </row>
    <row r="2610" spans="1:19" ht="12.75" customHeight="1" collapsed="1">
      <c r="I2610" s="368"/>
      <c r="J2610" s="413">
        <f>SUM(J2602:J2609)</f>
        <v>5300748.0699999984</v>
      </c>
      <c r="P2610" s="368"/>
    </row>
    <row r="2611" spans="1:19" ht="12.75" customHeight="1">
      <c r="I2611" s="368"/>
      <c r="P2611" s="368"/>
    </row>
    <row r="2612" spans="1:19" ht="12.75" customHeight="1">
      <c r="A2612" s="378" t="s">
        <v>4260</v>
      </c>
      <c r="I2612" s="368"/>
      <c r="P2612" s="368"/>
    </row>
    <row r="2613" spans="1:19" ht="30" hidden="1" outlineLevel="1">
      <c r="B2613" s="384">
        <v>2025</v>
      </c>
      <c r="C2613" s="384">
        <v>12</v>
      </c>
      <c r="D2613" s="367" t="s">
        <v>5</v>
      </c>
      <c r="E2613" s="367" t="s">
        <v>6</v>
      </c>
      <c r="F2613" s="389" t="s">
        <v>4261</v>
      </c>
      <c r="G2613" s="385">
        <v>45838</v>
      </c>
      <c r="H2613" s="367" t="s">
        <v>9</v>
      </c>
      <c r="I2613" s="368" t="str">
        <f>VLOOKUP(H2613,'Source Codes'!A$2:B$115,2,FALSE)</f>
        <v>On Line Journal Entries</v>
      </c>
      <c r="J2613" s="422">
        <v>10213390</v>
      </c>
      <c r="K2613" s="385">
        <v>45887</v>
      </c>
      <c r="L2613" s="369" t="s">
        <v>4266</v>
      </c>
      <c r="M2613" s="390">
        <v>45887.314733796295</v>
      </c>
      <c r="N2613" s="366" t="s">
        <v>377</v>
      </c>
      <c r="O2613" s="367" t="s">
        <v>370</v>
      </c>
      <c r="P2613" s="368" t="str">
        <f t="shared" si="46"/>
        <v>Revenue</v>
      </c>
      <c r="Q2613" s="366" t="s">
        <v>2619</v>
      </c>
      <c r="R2613" s="366" t="s">
        <v>2620</v>
      </c>
      <c r="S2613" s="366">
        <v>778120</v>
      </c>
    </row>
    <row r="2614" spans="1:19" ht="15" hidden="1" outlineLevel="1">
      <c r="B2614" s="384">
        <v>2025</v>
      </c>
      <c r="C2614" s="384">
        <v>12</v>
      </c>
      <c r="D2614" s="367" t="s">
        <v>5</v>
      </c>
      <c r="E2614" s="367" t="s">
        <v>6</v>
      </c>
      <c r="F2614" s="389" t="s">
        <v>4262</v>
      </c>
      <c r="G2614" s="385">
        <v>45838</v>
      </c>
      <c r="H2614" s="367" t="s">
        <v>9</v>
      </c>
      <c r="I2614" s="368" t="str">
        <f>VLOOKUP(H2614,'Source Codes'!A$2:B$115,2,FALSE)</f>
        <v>On Line Journal Entries</v>
      </c>
      <c r="J2614" s="422">
        <v>8043281.46</v>
      </c>
      <c r="K2614" s="385">
        <v>45887</v>
      </c>
      <c r="L2614" s="369" t="s">
        <v>4267</v>
      </c>
      <c r="M2614" s="390">
        <v>45887.322534722225</v>
      </c>
      <c r="N2614" s="366" t="s">
        <v>361</v>
      </c>
      <c r="O2614" s="367" t="s">
        <v>376</v>
      </c>
      <c r="P2614" s="368" t="str">
        <f t="shared" si="46"/>
        <v>Revenue</v>
      </c>
      <c r="Q2614" s="366" t="s">
        <v>4271</v>
      </c>
      <c r="R2614" s="366" t="s">
        <v>4271</v>
      </c>
      <c r="S2614" s="366">
        <v>755901</v>
      </c>
    </row>
    <row r="2615" spans="1:19" ht="30" hidden="1" outlineLevel="1">
      <c r="B2615" s="384">
        <v>2025</v>
      </c>
      <c r="C2615" s="384">
        <v>12</v>
      </c>
      <c r="D2615" s="367" t="s">
        <v>5</v>
      </c>
      <c r="E2615" s="367" t="s">
        <v>6</v>
      </c>
      <c r="F2615" s="389" t="s">
        <v>4263</v>
      </c>
      <c r="G2615" s="385">
        <v>45838</v>
      </c>
      <c r="H2615" s="367" t="s">
        <v>9</v>
      </c>
      <c r="I2615" s="368" t="str">
        <f>VLOOKUP(H2615,'Source Codes'!A$2:B$115,2,FALSE)</f>
        <v>On Line Journal Entries</v>
      </c>
      <c r="J2615" s="422">
        <v>5558468.7000000002</v>
      </c>
      <c r="K2615" s="385">
        <v>45887</v>
      </c>
      <c r="L2615" s="369" t="s">
        <v>4268</v>
      </c>
      <c r="M2615" s="390">
        <v>45887.294722222221</v>
      </c>
      <c r="N2615" s="366" t="s">
        <v>356</v>
      </c>
      <c r="O2615" s="367" t="s">
        <v>363</v>
      </c>
      <c r="P2615" s="368" t="str">
        <f t="shared" si="46"/>
        <v>Revenue</v>
      </c>
      <c r="Q2615" s="366" t="s">
        <v>4272</v>
      </c>
      <c r="R2615" s="366" t="s">
        <v>4272</v>
      </c>
      <c r="S2615" s="366" t="s">
        <v>4273</v>
      </c>
    </row>
    <row r="2616" spans="1:19" ht="15" hidden="1" outlineLevel="1">
      <c r="B2616" s="384">
        <v>2025</v>
      </c>
      <c r="C2616" s="384">
        <v>12</v>
      </c>
      <c r="D2616" s="367" t="s">
        <v>5</v>
      </c>
      <c r="E2616" s="367" t="s">
        <v>6</v>
      </c>
      <c r="F2616" s="389" t="s">
        <v>4264</v>
      </c>
      <c r="G2616" s="385">
        <v>45838</v>
      </c>
      <c r="H2616" s="367" t="s">
        <v>9</v>
      </c>
      <c r="I2616" s="368" t="str">
        <f>VLOOKUP(H2616,'Source Codes'!A$2:B$115,2,FALSE)</f>
        <v>On Line Journal Entries</v>
      </c>
      <c r="J2616" s="422">
        <v>1943577.02</v>
      </c>
      <c r="K2616" s="385">
        <v>45887</v>
      </c>
      <c r="L2616" s="369" t="s">
        <v>4269</v>
      </c>
      <c r="M2616" s="390">
        <v>45887.321250000001</v>
      </c>
      <c r="N2616" s="366" t="s">
        <v>4274</v>
      </c>
      <c r="O2616" s="367" t="s">
        <v>376</v>
      </c>
      <c r="P2616" s="368" t="str">
        <f t="shared" si="46"/>
        <v>Revenue</v>
      </c>
      <c r="Q2616" s="366" t="s">
        <v>4275</v>
      </c>
      <c r="R2616" s="366" t="s">
        <v>4275</v>
      </c>
      <c r="S2616" s="366">
        <v>761060</v>
      </c>
    </row>
    <row r="2617" spans="1:19" ht="30" hidden="1" outlineLevel="1">
      <c r="B2617" s="384">
        <v>2026</v>
      </c>
      <c r="C2617" s="384">
        <v>2</v>
      </c>
      <c r="D2617" s="367" t="s">
        <v>5</v>
      </c>
      <c r="E2617" s="367" t="s">
        <v>6</v>
      </c>
      <c r="F2617" s="389" t="s">
        <v>4265</v>
      </c>
      <c r="G2617" s="385">
        <v>45876</v>
      </c>
      <c r="H2617" s="367" t="s">
        <v>351</v>
      </c>
      <c r="I2617" s="368" t="str">
        <f>VLOOKUP(H2617,'Source Codes'!A$2:B$115,2,FALSE)</f>
        <v>Treasurer Tax Collector</v>
      </c>
      <c r="J2617" s="422">
        <v>1297527.27</v>
      </c>
      <c r="K2617" s="385">
        <v>45887</v>
      </c>
      <c r="L2617" s="369" t="s">
        <v>4270</v>
      </c>
      <c r="M2617" s="390">
        <v>45887.870312500003</v>
      </c>
      <c r="N2617" s="366" t="s">
        <v>361</v>
      </c>
      <c r="O2617" s="367" t="s">
        <v>380</v>
      </c>
      <c r="P2617" s="368" t="str">
        <f t="shared" si="46"/>
        <v>Revenue</v>
      </c>
      <c r="Q2617" s="366" t="s">
        <v>2688</v>
      </c>
      <c r="R2617" s="366" t="s">
        <v>4276</v>
      </c>
      <c r="S2617" s="366" t="s">
        <v>4277</v>
      </c>
    </row>
    <row r="2618" spans="1:19" ht="30" hidden="1" outlineLevel="1">
      <c r="B2618" s="384">
        <v>2025</v>
      </c>
      <c r="C2618" s="384">
        <v>12</v>
      </c>
      <c r="D2618" s="367" t="s">
        <v>5</v>
      </c>
      <c r="E2618" s="367" t="s">
        <v>6</v>
      </c>
      <c r="F2618" s="389" t="s">
        <v>4278</v>
      </c>
      <c r="G2618" s="385">
        <v>45838</v>
      </c>
      <c r="H2618" s="367" t="s">
        <v>337</v>
      </c>
      <c r="I2618" s="368" t="str">
        <f>VLOOKUP(H2618,'Source Codes'!A$2:B$115,2,FALSE)</f>
        <v>Facilities Mngmnt Intfc Jrnls</v>
      </c>
      <c r="J2618" s="422">
        <v>-1279542.28</v>
      </c>
      <c r="K2618" s="385">
        <v>45887</v>
      </c>
      <c r="L2618" s="369" t="s">
        <v>4280</v>
      </c>
      <c r="M2618" s="390">
        <v>45887.308368055557</v>
      </c>
      <c r="N2618" s="366" t="s">
        <v>2185</v>
      </c>
      <c r="O2618" s="367" t="s">
        <v>367</v>
      </c>
      <c r="P2618" s="368" t="str">
        <f t="shared" si="46"/>
        <v>Expense</v>
      </c>
      <c r="Q2618" s="366" t="s">
        <v>2240</v>
      </c>
      <c r="R2618" s="366" t="s">
        <v>4282</v>
      </c>
      <c r="S2618" s="366">
        <v>777520</v>
      </c>
    </row>
    <row r="2619" spans="1:19" ht="45" hidden="1" outlineLevel="1">
      <c r="B2619" s="384">
        <v>2025</v>
      </c>
      <c r="C2619" s="384">
        <v>12</v>
      </c>
      <c r="D2619" s="367" t="s">
        <v>5</v>
      </c>
      <c r="E2619" s="367" t="s">
        <v>6</v>
      </c>
      <c r="F2619" s="389" t="s">
        <v>4279</v>
      </c>
      <c r="G2619" s="385">
        <v>45838</v>
      </c>
      <c r="H2619" s="367" t="s">
        <v>9</v>
      </c>
      <c r="I2619" s="368" t="str">
        <f>VLOOKUP(H2619,'Source Codes'!A$2:B$115,2,FALSE)</f>
        <v>On Line Journal Entries</v>
      </c>
      <c r="J2619" s="422">
        <v>-4000000</v>
      </c>
      <c r="K2619" s="385">
        <v>45887</v>
      </c>
      <c r="L2619" s="369" t="s">
        <v>4281</v>
      </c>
      <c r="M2619" s="390">
        <v>45887.559421296297</v>
      </c>
      <c r="N2619" s="366" t="s">
        <v>2185</v>
      </c>
      <c r="O2619" s="367" t="s">
        <v>358</v>
      </c>
      <c r="P2619" s="368" t="str">
        <f t="shared" si="46"/>
        <v>Expense</v>
      </c>
      <c r="Q2619" s="366" t="s">
        <v>2479</v>
      </c>
      <c r="R2619" s="366" t="s">
        <v>4283</v>
      </c>
      <c r="S2619" s="366">
        <v>551100</v>
      </c>
    </row>
    <row r="2620" spans="1:19" ht="12.75" customHeight="1" collapsed="1">
      <c r="I2620" s="368"/>
      <c r="J2620" s="413">
        <f>SUM(J2613:J2619)</f>
        <v>21776702.169999998</v>
      </c>
      <c r="P2620" s="368"/>
    </row>
    <row r="2621" spans="1:19" ht="12.75" customHeight="1">
      <c r="I2621" s="368"/>
      <c r="P2621" s="368"/>
    </row>
    <row r="2622" spans="1:19" ht="12.75" customHeight="1">
      <c r="A2622" s="378" t="s">
        <v>4284</v>
      </c>
      <c r="I2622" s="368"/>
      <c r="P2622" s="368"/>
    </row>
    <row r="2623" spans="1:19" ht="30" hidden="1" outlineLevel="1">
      <c r="B2623" s="384">
        <v>2025</v>
      </c>
      <c r="C2623" s="384">
        <v>12</v>
      </c>
      <c r="D2623" s="367" t="s">
        <v>5</v>
      </c>
      <c r="E2623" s="367" t="s">
        <v>6</v>
      </c>
      <c r="F2623" s="389" t="s">
        <v>4285</v>
      </c>
      <c r="G2623" s="385">
        <v>45838</v>
      </c>
      <c r="H2623" s="367" t="s">
        <v>9</v>
      </c>
      <c r="I2623" s="368" t="str">
        <f>VLOOKUP(H2623,'Source Codes'!A$2:B$115,2,FALSE)</f>
        <v>On Line Journal Entries</v>
      </c>
      <c r="J2623" s="422">
        <v>60147185.479999997</v>
      </c>
      <c r="K2623" s="385">
        <v>45888</v>
      </c>
      <c r="L2623" s="369" t="s">
        <v>4288</v>
      </c>
      <c r="M2623" s="390">
        <v>45888.670173611114</v>
      </c>
      <c r="N2623" s="366" t="s">
        <v>387</v>
      </c>
      <c r="O2623" s="367" t="s">
        <v>368</v>
      </c>
      <c r="P2623" s="368" t="str">
        <f t="shared" si="46"/>
        <v>Revenue</v>
      </c>
      <c r="Q2623" s="366" t="s">
        <v>4291</v>
      </c>
      <c r="R2623" s="366" t="s">
        <v>4292</v>
      </c>
      <c r="S2623" s="366" t="s">
        <v>4293</v>
      </c>
    </row>
    <row r="2624" spans="1:19" ht="30" hidden="1" outlineLevel="1">
      <c r="B2624" s="384">
        <v>2025</v>
      </c>
      <c r="C2624" s="384">
        <v>12</v>
      </c>
      <c r="D2624" s="367" t="s">
        <v>5</v>
      </c>
      <c r="E2624" s="367" t="s">
        <v>6</v>
      </c>
      <c r="F2624" s="389" t="s">
        <v>4286</v>
      </c>
      <c r="G2624" s="385">
        <v>45809</v>
      </c>
      <c r="H2624" s="367" t="s">
        <v>9</v>
      </c>
      <c r="I2624" s="368" t="str">
        <f>VLOOKUP(H2624,'Source Codes'!A$2:B$115,2,FALSE)</f>
        <v>On Line Journal Entries</v>
      </c>
      <c r="J2624" s="422">
        <v>8362010.25</v>
      </c>
      <c r="K2624" s="385">
        <v>45888</v>
      </c>
      <c r="L2624" s="369" t="s">
        <v>4289</v>
      </c>
      <c r="M2624" s="390">
        <v>45888.585104166668</v>
      </c>
      <c r="N2624" s="366" t="s">
        <v>387</v>
      </c>
      <c r="O2624" s="367" t="s">
        <v>373</v>
      </c>
      <c r="P2624" s="368" t="str">
        <f t="shared" si="46"/>
        <v>Revenue</v>
      </c>
      <c r="Q2624" s="366" t="s">
        <v>4294</v>
      </c>
      <c r="R2624" s="366" t="s">
        <v>4295</v>
      </c>
      <c r="S2624" s="366" t="s">
        <v>4296</v>
      </c>
    </row>
    <row r="2625" spans="1:19" ht="15" hidden="1" outlineLevel="1">
      <c r="B2625" s="384">
        <v>2025</v>
      </c>
      <c r="C2625" s="384">
        <v>12</v>
      </c>
      <c r="D2625" s="367" t="s">
        <v>5</v>
      </c>
      <c r="E2625" s="367" t="s">
        <v>6</v>
      </c>
      <c r="F2625" s="389" t="s">
        <v>4287</v>
      </c>
      <c r="G2625" s="385">
        <v>45838</v>
      </c>
      <c r="H2625" s="367" t="s">
        <v>9</v>
      </c>
      <c r="I2625" s="368" t="str">
        <f>VLOOKUP(H2625,'Source Codes'!A$2:B$115,2,FALSE)</f>
        <v>On Line Journal Entries</v>
      </c>
      <c r="J2625" s="422">
        <v>7583192.1500000004</v>
      </c>
      <c r="K2625" s="385">
        <v>45888</v>
      </c>
      <c r="L2625" s="369" t="s">
        <v>4290</v>
      </c>
      <c r="M2625" s="390">
        <v>45888.87091435185</v>
      </c>
      <c r="N2625" s="366" t="s">
        <v>387</v>
      </c>
      <c r="O2625" s="367" t="s">
        <v>371</v>
      </c>
      <c r="P2625" s="368" t="str">
        <f t="shared" si="46"/>
        <v>Revenue</v>
      </c>
      <c r="Q2625" s="366" t="s">
        <v>4297</v>
      </c>
      <c r="R2625" s="366" t="s">
        <v>4297</v>
      </c>
      <c r="S2625" s="366" t="s">
        <v>203</v>
      </c>
    </row>
    <row r="2626" spans="1:19" ht="15" hidden="1" outlineLevel="1">
      <c r="B2626" s="384">
        <v>2026</v>
      </c>
      <c r="C2626" s="384">
        <v>2</v>
      </c>
      <c r="D2626" s="367" t="s">
        <v>5</v>
      </c>
      <c r="E2626" s="367" t="s">
        <v>6</v>
      </c>
      <c r="F2626" s="389" t="s">
        <v>4298</v>
      </c>
      <c r="G2626" s="385">
        <v>45870</v>
      </c>
      <c r="H2626" s="367" t="s">
        <v>9</v>
      </c>
      <c r="I2626" s="368" t="str">
        <f>VLOOKUP(H2626,'Source Codes'!A$2:B$115,2,FALSE)</f>
        <v>On Line Journal Entries</v>
      </c>
      <c r="J2626" s="422">
        <v>-7583192.1500000004</v>
      </c>
      <c r="K2626" s="385">
        <v>45888</v>
      </c>
      <c r="L2626" s="369" t="s">
        <v>4299</v>
      </c>
      <c r="M2626" s="390">
        <v>45888.87091435185</v>
      </c>
      <c r="N2626" s="366" t="s">
        <v>387</v>
      </c>
      <c r="O2626" s="367" t="s">
        <v>371</v>
      </c>
      <c r="P2626" s="368" t="str">
        <f t="shared" si="46"/>
        <v>Expense</v>
      </c>
      <c r="Q2626" s="366" t="s">
        <v>4297</v>
      </c>
      <c r="R2626" s="366" t="s">
        <v>4297</v>
      </c>
      <c r="S2626" s="366" t="s">
        <v>203</v>
      </c>
    </row>
    <row r="2627" spans="1:19" ht="12.75" customHeight="1" collapsed="1">
      <c r="I2627" s="368"/>
      <c r="J2627" s="413">
        <f>SUM(J2623:J2626)</f>
        <v>68509195.729999989</v>
      </c>
      <c r="P2627" s="368"/>
    </row>
    <row r="2628" spans="1:19" ht="12.75" customHeight="1">
      <c r="I2628" s="368"/>
      <c r="P2628" s="368"/>
    </row>
    <row r="2629" spans="1:19" ht="12.75" customHeight="1">
      <c r="A2629" s="378" t="s">
        <v>4300</v>
      </c>
      <c r="I2629" s="368"/>
      <c r="P2629" s="368"/>
    </row>
    <row r="2630" spans="1:19" ht="30" hidden="1" outlineLevel="1">
      <c r="B2630" s="384">
        <v>2025</v>
      </c>
      <c r="C2630" s="384">
        <v>12</v>
      </c>
      <c r="D2630" s="367" t="s">
        <v>5</v>
      </c>
      <c r="E2630" s="367" t="s">
        <v>6</v>
      </c>
      <c r="F2630" s="389" t="s">
        <v>4301</v>
      </c>
      <c r="G2630" s="385">
        <v>45838</v>
      </c>
      <c r="H2630" s="367" t="s">
        <v>9</v>
      </c>
      <c r="I2630" s="368" t="str">
        <f>VLOOKUP(H2630,'Source Codes'!A$2:B$115,2,FALSE)</f>
        <v>On Line Journal Entries</v>
      </c>
      <c r="J2630" s="422">
        <v>1053466.8400000001</v>
      </c>
      <c r="K2630" s="385">
        <v>45889</v>
      </c>
      <c r="L2630" s="369" t="s">
        <v>4302</v>
      </c>
      <c r="M2630" s="390">
        <v>45889.870115740741</v>
      </c>
      <c r="N2630" s="366" t="s">
        <v>387</v>
      </c>
      <c r="O2630" s="367" t="s">
        <v>363</v>
      </c>
      <c r="P2630" s="368" t="str">
        <f t="shared" si="46"/>
        <v>Revenue</v>
      </c>
      <c r="Q2630" s="366" t="s">
        <v>4303</v>
      </c>
      <c r="R2630" s="366" t="s">
        <v>4304</v>
      </c>
      <c r="S2630" s="366">
        <v>778330</v>
      </c>
    </row>
    <row r="2631" spans="1:19" ht="45" hidden="1" outlineLevel="1">
      <c r="B2631" s="384">
        <v>2025</v>
      </c>
      <c r="C2631" s="384">
        <v>12</v>
      </c>
      <c r="D2631" s="367" t="s">
        <v>5</v>
      </c>
      <c r="E2631" s="367" t="s">
        <v>6</v>
      </c>
      <c r="F2631" s="389" t="s">
        <v>4305</v>
      </c>
      <c r="G2631" s="385">
        <v>45838</v>
      </c>
      <c r="H2631" s="367" t="s">
        <v>9</v>
      </c>
      <c r="I2631" s="368" t="str">
        <f>VLOOKUP(H2631,'Source Codes'!A$2:B$115,2,FALSE)</f>
        <v>On Line Journal Entries</v>
      </c>
      <c r="J2631" s="422">
        <v>-4549196.13</v>
      </c>
      <c r="K2631" s="385">
        <v>45889</v>
      </c>
      <c r="L2631" s="369" t="s">
        <v>4306</v>
      </c>
      <c r="M2631" s="390">
        <v>45889.41133101852</v>
      </c>
      <c r="N2631" s="366" t="s">
        <v>356</v>
      </c>
      <c r="O2631" s="367" t="s">
        <v>364</v>
      </c>
      <c r="P2631" s="368" t="str">
        <f t="shared" si="46"/>
        <v>Expense</v>
      </c>
      <c r="Q2631" s="366" t="s">
        <v>2232</v>
      </c>
      <c r="R2631" s="366" t="s">
        <v>2232</v>
      </c>
      <c r="S2631" s="366">
        <v>755921</v>
      </c>
    </row>
    <row r="2632" spans="1:19" ht="12.75" customHeight="1" collapsed="1">
      <c r="I2632" s="368"/>
      <c r="J2632" s="413">
        <f>SUM(J2630:J2631)</f>
        <v>-3495729.29</v>
      </c>
      <c r="P2632" s="368"/>
    </row>
    <row r="2633" spans="1:19" ht="12.75" customHeight="1">
      <c r="A2633" s="378" t="s">
        <v>4307</v>
      </c>
      <c r="I2633" s="368"/>
      <c r="P2633" s="368"/>
    </row>
    <row r="2634" spans="1:19" ht="30" hidden="1" outlineLevel="1">
      <c r="B2634" s="384">
        <v>2026</v>
      </c>
      <c r="C2634" s="384">
        <v>2</v>
      </c>
      <c r="D2634" s="367" t="s">
        <v>5</v>
      </c>
      <c r="E2634" s="367" t="s">
        <v>6</v>
      </c>
      <c r="F2634" s="389" t="s">
        <v>4308</v>
      </c>
      <c r="G2634" s="385">
        <v>45884</v>
      </c>
      <c r="H2634" s="367" t="s">
        <v>11</v>
      </c>
      <c r="I2634" s="368" t="str">
        <f>VLOOKUP(H2634,'Source Codes'!A$2:B$115,2,FALSE)</f>
        <v>AR Payments</v>
      </c>
      <c r="J2634" s="422">
        <v>3629518.15</v>
      </c>
      <c r="K2634" s="385">
        <v>45890</v>
      </c>
      <c r="L2634" s="369" t="s">
        <v>4309</v>
      </c>
      <c r="M2634" s="390">
        <v>45890.752083333333</v>
      </c>
      <c r="N2634" s="366" t="s">
        <v>356</v>
      </c>
      <c r="O2634" s="367" t="s">
        <v>357</v>
      </c>
      <c r="P2634" s="368" t="str">
        <f t="shared" si="46"/>
        <v>Revenue</v>
      </c>
      <c r="Q2634" s="366" t="s">
        <v>2157</v>
      </c>
      <c r="R2634" s="366" t="s">
        <v>2857</v>
      </c>
      <c r="S2634" s="366">
        <v>118501</v>
      </c>
    </row>
    <row r="2635" spans="1:19" ht="45" hidden="1" outlineLevel="1">
      <c r="B2635" s="384">
        <v>2025</v>
      </c>
      <c r="C2635" s="384">
        <v>12</v>
      </c>
      <c r="D2635" s="367" t="s">
        <v>5</v>
      </c>
      <c r="E2635" s="367" t="s">
        <v>6</v>
      </c>
      <c r="F2635" s="389" t="s">
        <v>4310</v>
      </c>
      <c r="G2635" s="385">
        <v>45838</v>
      </c>
      <c r="H2635" s="367" t="s">
        <v>9</v>
      </c>
      <c r="I2635" s="368" t="str">
        <f>VLOOKUP(H2635,'Source Codes'!A$2:B$115,2,FALSE)</f>
        <v>On Line Journal Entries</v>
      </c>
      <c r="J2635" s="422">
        <v>3208429.18</v>
      </c>
      <c r="K2635" s="385">
        <v>45890</v>
      </c>
      <c r="L2635" s="369" t="s">
        <v>4311</v>
      </c>
      <c r="M2635" s="390">
        <v>45890.908472222225</v>
      </c>
      <c r="N2635" s="366" t="s">
        <v>1534</v>
      </c>
      <c r="O2635" s="367" t="s">
        <v>385</v>
      </c>
      <c r="P2635" s="368" t="str">
        <f t="shared" si="46"/>
        <v>Revenue</v>
      </c>
      <c r="Q2635" s="366" t="s">
        <v>4313</v>
      </c>
      <c r="R2635" s="366" t="s">
        <v>4312</v>
      </c>
      <c r="S2635" s="366">
        <v>572200</v>
      </c>
    </row>
    <row r="2636" spans="1:19" ht="15" hidden="1" outlineLevel="1">
      <c r="B2636" s="384">
        <v>2026</v>
      </c>
      <c r="C2636" s="384">
        <v>2</v>
      </c>
      <c r="D2636" s="367" t="s">
        <v>5</v>
      </c>
      <c r="E2636" s="367" t="s">
        <v>6</v>
      </c>
      <c r="F2636" s="389" t="s">
        <v>4314</v>
      </c>
      <c r="G2636" s="385">
        <v>45890</v>
      </c>
      <c r="H2636" s="367" t="s">
        <v>8</v>
      </c>
      <c r="I2636" s="368" t="str">
        <f>VLOOKUP(H2636,'Source Codes'!A$2:B$115,2,FALSE)</f>
        <v>Prch,Cntrl Mail,Flt,Prntg,Sply</v>
      </c>
      <c r="J2636" s="422">
        <v>-2074820.52</v>
      </c>
      <c r="K2636" s="385">
        <v>45890</v>
      </c>
      <c r="L2636" s="369" t="s">
        <v>4315</v>
      </c>
      <c r="M2636" s="390">
        <v>45890.46974537037</v>
      </c>
      <c r="N2636" s="366" t="s">
        <v>356</v>
      </c>
      <c r="O2636" s="367" t="s">
        <v>382</v>
      </c>
      <c r="P2636" s="368" t="str">
        <f t="shared" si="46"/>
        <v>Expense</v>
      </c>
      <c r="Q2636" s="366" t="s">
        <v>2328</v>
      </c>
      <c r="R2636" s="366" t="s">
        <v>4317</v>
      </c>
      <c r="S2636" s="366" t="s">
        <v>2535</v>
      </c>
    </row>
    <row r="2637" spans="1:19" ht="15" hidden="1" outlineLevel="1">
      <c r="B2637" s="384">
        <v>2026</v>
      </c>
      <c r="C2637" s="384">
        <v>2</v>
      </c>
      <c r="D2637" s="367" t="s">
        <v>5</v>
      </c>
      <c r="E2637" s="367" t="s">
        <v>6</v>
      </c>
      <c r="F2637" s="389" t="s">
        <v>4316</v>
      </c>
      <c r="G2637" s="385">
        <v>45889</v>
      </c>
      <c r="H2637" s="367" t="s">
        <v>7</v>
      </c>
      <c r="I2637" s="368" t="str">
        <f>VLOOKUP(H2637,'Source Codes'!A$2:B$115,2,FALSE)</f>
        <v>HRMS Interface Journals</v>
      </c>
      <c r="J2637" s="422">
        <v>-10188049.460000001</v>
      </c>
      <c r="K2637" s="385">
        <v>45890</v>
      </c>
      <c r="L2637" s="369" t="s">
        <v>407</v>
      </c>
      <c r="M2637" s="390">
        <v>45890.357303240744</v>
      </c>
      <c r="N2637" s="366" t="s">
        <v>378</v>
      </c>
      <c r="O2637" s="367" t="s">
        <v>379</v>
      </c>
      <c r="P2637" s="368" t="str">
        <f t="shared" si="46"/>
        <v>Expense</v>
      </c>
      <c r="Q2637" s="366" t="s">
        <v>379</v>
      </c>
      <c r="R2637" s="366" t="s">
        <v>4318</v>
      </c>
      <c r="S2637" s="366" t="s">
        <v>203</v>
      </c>
    </row>
    <row r="2638" spans="1:19" ht="12.75" customHeight="1" collapsed="1">
      <c r="J2638" s="413">
        <f>SUM(J2634:J2637)</f>
        <v>-5424922.6500000004</v>
      </c>
    </row>
    <row r="2640" spans="1:19" ht="12.75" customHeight="1">
      <c r="A2640" s="378" t="s">
        <v>4322</v>
      </c>
    </row>
    <row r="2641" spans="1:19" ht="12.75" hidden="1" customHeight="1" outlineLevel="1">
      <c r="B2641" s="384">
        <v>2026</v>
      </c>
      <c r="C2641" s="384">
        <v>2</v>
      </c>
      <c r="D2641" s="367" t="s">
        <v>5</v>
      </c>
      <c r="E2641" s="367" t="s">
        <v>6</v>
      </c>
      <c r="F2641" s="389" t="s">
        <v>4323</v>
      </c>
      <c r="G2641" s="385">
        <v>45889</v>
      </c>
      <c r="H2641" s="367" t="s">
        <v>7</v>
      </c>
      <c r="I2641" s="368" t="str">
        <f>VLOOKUP(H2641,'Source Codes'!A$2:B$115,2,FALSE)</f>
        <v>HRMS Interface Journals</v>
      </c>
      <c r="J2641" s="422">
        <v>-2538796.25</v>
      </c>
      <c r="K2641" s="385">
        <v>45894</v>
      </c>
      <c r="L2641" s="369" t="s">
        <v>409</v>
      </c>
      <c r="M2641" s="390">
        <v>45894.327048611114</v>
      </c>
      <c r="N2641" s="366" t="s">
        <v>378</v>
      </c>
      <c r="O2641" s="367" t="s">
        <v>379</v>
      </c>
      <c r="P2641" s="368" t="str">
        <f t="shared" ref="P2641:P2642" si="47">IF(J2641&gt;0,"Revenue",IF(J2641&lt;0,"Expense"))</f>
        <v>Expense</v>
      </c>
      <c r="Q2641" s="366" t="s">
        <v>379</v>
      </c>
      <c r="R2641" s="366" t="s">
        <v>4318</v>
      </c>
      <c r="S2641" s="366">
        <v>513120</v>
      </c>
    </row>
    <row r="2642" spans="1:19" ht="12.75" hidden="1" customHeight="1" outlineLevel="1">
      <c r="B2642" s="384">
        <v>2026</v>
      </c>
      <c r="C2642" s="384">
        <v>2</v>
      </c>
      <c r="D2642" s="367" t="s">
        <v>5</v>
      </c>
      <c r="E2642" s="367" t="s">
        <v>6</v>
      </c>
      <c r="F2642" s="389" t="s">
        <v>4324</v>
      </c>
      <c r="G2642" s="385">
        <v>45889</v>
      </c>
      <c r="H2642" s="367" t="s">
        <v>7</v>
      </c>
      <c r="I2642" s="368" t="str">
        <f>VLOOKUP(H2642,'Source Codes'!A$2:B$115,2,FALSE)</f>
        <v>HRMS Interface Journals</v>
      </c>
      <c r="J2642" s="422">
        <v>-72735666.140000001</v>
      </c>
      <c r="K2642" s="385">
        <v>45894</v>
      </c>
      <c r="L2642" s="369" t="s">
        <v>406</v>
      </c>
      <c r="M2642" s="390">
        <v>45894.325520833336</v>
      </c>
      <c r="N2642" s="366" t="s">
        <v>378</v>
      </c>
      <c r="O2642" s="367" t="s">
        <v>371</v>
      </c>
      <c r="P2642" s="368" t="str">
        <f t="shared" si="47"/>
        <v>Expense</v>
      </c>
      <c r="Q2642" s="366" t="s">
        <v>379</v>
      </c>
      <c r="R2642" s="366" t="s">
        <v>4318</v>
      </c>
      <c r="S2642" s="366" t="s">
        <v>203</v>
      </c>
    </row>
    <row r="2643" spans="1:19" ht="12.75" customHeight="1" collapsed="1">
      <c r="J2643" s="413">
        <f>SUM(J2641:J2642)</f>
        <v>-75274462.390000001</v>
      </c>
    </row>
    <row r="2645" spans="1:19" ht="12.75" customHeight="1">
      <c r="A2645" s="378" t="s">
        <v>4325</v>
      </c>
    </row>
    <row r="2646" spans="1:19" ht="45" hidden="1" outlineLevel="1">
      <c r="B2646" s="384">
        <v>2026</v>
      </c>
      <c r="C2646" s="384">
        <v>2</v>
      </c>
      <c r="D2646" s="367" t="s">
        <v>5</v>
      </c>
      <c r="E2646" s="367" t="s">
        <v>6</v>
      </c>
      <c r="F2646" s="389" t="s">
        <v>4326</v>
      </c>
      <c r="G2646" s="385">
        <v>45895</v>
      </c>
      <c r="H2646" s="367" t="s">
        <v>12</v>
      </c>
      <c r="I2646" s="368" t="str">
        <f>VLOOKUP(H2646,'Source Codes'!A$2:B$115,2,FALSE)</f>
        <v>AR Direct Cash Journal</v>
      </c>
      <c r="J2646" s="422">
        <v>3028965.72</v>
      </c>
      <c r="K2646" s="385">
        <v>45895</v>
      </c>
      <c r="L2646" s="369" t="s">
        <v>4339</v>
      </c>
      <c r="M2646" s="390">
        <v>45895.75240740741</v>
      </c>
      <c r="N2646" s="366" t="s">
        <v>356</v>
      </c>
      <c r="O2646" s="367" t="s">
        <v>362</v>
      </c>
      <c r="P2646" s="368" t="str">
        <f t="shared" ref="P2646:P2650" si="48">IF(J2646&gt;0,"Revenue",IF(J2646&lt;0,"Expense"))</f>
        <v>Revenue</v>
      </c>
      <c r="Q2646" s="366" t="s">
        <v>2360</v>
      </c>
      <c r="R2646" s="366" t="s">
        <v>2715</v>
      </c>
      <c r="S2646" s="366">
        <v>767220</v>
      </c>
    </row>
    <row r="2647" spans="1:19" ht="12.75" hidden="1" customHeight="1" outlineLevel="1">
      <c r="B2647" s="384">
        <v>2026</v>
      </c>
      <c r="C2647" s="384">
        <v>2</v>
      </c>
      <c r="D2647" s="367" t="s">
        <v>5</v>
      </c>
      <c r="E2647" s="367" t="s">
        <v>6</v>
      </c>
      <c r="F2647" s="389" t="s">
        <v>4327</v>
      </c>
      <c r="G2647" s="385">
        <v>45882</v>
      </c>
      <c r="H2647" s="367" t="s">
        <v>9</v>
      </c>
      <c r="I2647" s="368" t="str">
        <f>VLOOKUP(H2647,'Source Codes'!A$2:B$115,2,FALSE)</f>
        <v>On Line Journal Entries</v>
      </c>
      <c r="J2647" s="422">
        <v>4352467</v>
      </c>
      <c r="K2647" s="385">
        <v>45895</v>
      </c>
      <c r="L2647" s="369" t="s">
        <v>4331</v>
      </c>
      <c r="M2647" s="390">
        <v>45895.870844907404</v>
      </c>
      <c r="N2647" s="366" t="s">
        <v>356</v>
      </c>
      <c r="O2647" s="367" t="s">
        <v>369</v>
      </c>
      <c r="P2647" s="368" t="str">
        <f t="shared" si="48"/>
        <v>Revenue</v>
      </c>
      <c r="Q2647" s="366" t="s">
        <v>2268</v>
      </c>
      <c r="R2647" s="365">
        <v>45894</v>
      </c>
      <c r="S2647" s="366" t="s">
        <v>4335</v>
      </c>
    </row>
    <row r="2648" spans="1:19" ht="15" hidden="1" outlineLevel="1">
      <c r="B2648" s="384">
        <v>2026</v>
      </c>
      <c r="C2648" s="384">
        <v>2</v>
      </c>
      <c r="D2648" s="367" t="s">
        <v>5</v>
      </c>
      <c r="E2648" s="367" t="s">
        <v>6</v>
      </c>
      <c r="F2648" s="389" t="s">
        <v>4328</v>
      </c>
      <c r="G2648" s="385">
        <v>45870</v>
      </c>
      <c r="H2648" s="367" t="s">
        <v>9</v>
      </c>
      <c r="I2648" s="368" t="str">
        <f>VLOOKUP(H2648,'Source Codes'!A$2:B$115,2,FALSE)</f>
        <v>On Line Journal Entries</v>
      </c>
      <c r="J2648" s="422">
        <v>-1712372.49</v>
      </c>
      <c r="K2648" s="385">
        <v>45895</v>
      </c>
      <c r="L2648" s="369" t="s">
        <v>4332</v>
      </c>
      <c r="M2648" s="390">
        <v>45895.486655092594</v>
      </c>
      <c r="N2648" s="368" t="s">
        <v>356</v>
      </c>
      <c r="O2648" s="368" t="s">
        <v>373</v>
      </c>
      <c r="P2648" s="368" t="str">
        <f t="shared" si="48"/>
        <v>Expense</v>
      </c>
      <c r="Q2648" s="366" t="s">
        <v>2476</v>
      </c>
      <c r="R2648" s="366" t="s">
        <v>4336</v>
      </c>
      <c r="S2648" s="366">
        <v>520945</v>
      </c>
    </row>
    <row r="2649" spans="1:19" ht="30" hidden="1" outlineLevel="1">
      <c r="B2649" s="384">
        <v>2026</v>
      </c>
      <c r="C2649" s="384">
        <v>2</v>
      </c>
      <c r="D2649" s="367" t="s">
        <v>5</v>
      </c>
      <c r="E2649" s="367" t="s">
        <v>6</v>
      </c>
      <c r="F2649" s="389" t="s">
        <v>4329</v>
      </c>
      <c r="G2649" s="385">
        <v>45870</v>
      </c>
      <c r="H2649" s="367" t="s">
        <v>9</v>
      </c>
      <c r="I2649" s="368" t="str">
        <f>VLOOKUP(H2649,'Source Codes'!A$2:B$115,2,FALSE)</f>
        <v>On Line Journal Entries</v>
      </c>
      <c r="J2649" s="422">
        <v>-4444115.4000000004</v>
      </c>
      <c r="K2649" s="385">
        <v>45895</v>
      </c>
      <c r="L2649" s="369" t="s">
        <v>4333</v>
      </c>
      <c r="M2649" s="390">
        <v>45895.870844907404</v>
      </c>
      <c r="N2649" s="366" t="s">
        <v>356</v>
      </c>
      <c r="O2649" s="367" t="s">
        <v>373</v>
      </c>
      <c r="P2649" s="368" t="str">
        <f t="shared" si="48"/>
        <v>Expense</v>
      </c>
      <c r="Q2649" s="366" t="s">
        <v>2517</v>
      </c>
      <c r="R2649" s="366" t="s">
        <v>4337</v>
      </c>
      <c r="S2649" s="366">
        <v>517000</v>
      </c>
    </row>
    <row r="2650" spans="1:19" ht="30" hidden="1" outlineLevel="1">
      <c r="B2650" s="384">
        <v>2026</v>
      </c>
      <c r="C2650" s="384">
        <v>2</v>
      </c>
      <c r="D2650" s="367" t="s">
        <v>5</v>
      </c>
      <c r="E2650" s="367" t="s">
        <v>6</v>
      </c>
      <c r="F2650" s="389" t="s">
        <v>4330</v>
      </c>
      <c r="G2650" s="385">
        <v>45870</v>
      </c>
      <c r="H2650" s="367" t="s">
        <v>9</v>
      </c>
      <c r="I2650" s="368" t="str">
        <f>VLOOKUP(H2650,'Source Codes'!A$2:B$115,2,FALSE)</f>
        <v>On Line Journal Entries</v>
      </c>
      <c r="J2650" s="422">
        <v>-7576523.54</v>
      </c>
      <c r="K2650" s="385">
        <v>45895</v>
      </c>
      <c r="L2650" s="369" t="s">
        <v>4334</v>
      </c>
      <c r="M2650" s="390">
        <v>45895.484652777777</v>
      </c>
      <c r="N2650" s="366" t="s">
        <v>356</v>
      </c>
      <c r="O2650" s="367" t="s">
        <v>373</v>
      </c>
      <c r="P2650" s="368" t="str">
        <f t="shared" si="48"/>
        <v>Expense</v>
      </c>
      <c r="Q2650" s="366" t="s">
        <v>2569</v>
      </c>
      <c r="R2650" s="366" t="s">
        <v>4338</v>
      </c>
      <c r="S2650" s="366">
        <v>520930</v>
      </c>
    </row>
    <row r="2651" spans="1:19" ht="12.75" customHeight="1" collapsed="1">
      <c r="B2651" s="384"/>
      <c r="C2651" s="384"/>
      <c r="D2651" s="367"/>
      <c r="E2651" s="367"/>
      <c r="F2651" s="389"/>
      <c r="G2651" s="385"/>
      <c r="H2651" s="367"/>
      <c r="I2651" s="368"/>
      <c r="J2651" s="423">
        <f>SUM(J2646:J2650)</f>
        <v>-6351578.71</v>
      </c>
      <c r="K2651" s="385"/>
      <c r="L2651" s="369"/>
      <c r="M2651" s="390"/>
      <c r="N2651" s="366"/>
      <c r="O2651" s="367"/>
      <c r="P2651" s="368"/>
      <c r="Q2651" s="366"/>
      <c r="R2651" s="366"/>
      <c r="S2651" s="366"/>
    </row>
    <row r="2653" spans="1:19" ht="12.75" customHeight="1">
      <c r="A2653" s="378" t="s">
        <v>4342</v>
      </c>
    </row>
    <row r="2654" spans="1:19" ht="15" hidden="1" outlineLevel="1">
      <c r="B2654" s="384">
        <v>2026</v>
      </c>
      <c r="C2654" s="384">
        <v>2</v>
      </c>
      <c r="D2654" s="367" t="s">
        <v>5</v>
      </c>
      <c r="E2654" s="367" t="s">
        <v>6</v>
      </c>
      <c r="F2654" s="389" t="s">
        <v>4343</v>
      </c>
      <c r="G2654" s="385">
        <v>45880</v>
      </c>
      <c r="H2654" s="367" t="s">
        <v>337</v>
      </c>
      <c r="I2654" s="368" t="str">
        <f>VLOOKUP(H2654,'Source Codes'!A$2:B$115,2,FALSE)</f>
        <v>Facilities Mngmnt Intfc Jrnls</v>
      </c>
      <c r="J2654" s="422">
        <v>-1175593.8600000001</v>
      </c>
      <c r="K2654" s="385">
        <v>45896</v>
      </c>
      <c r="L2654" s="369" t="s">
        <v>4347</v>
      </c>
      <c r="M2654" s="390">
        <v>45896.870706018519</v>
      </c>
      <c r="N2654" s="366" t="s">
        <v>356</v>
      </c>
      <c r="O2654" s="367" t="s">
        <v>367</v>
      </c>
      <c r="P2654" s="368" t="str">
        <f t="shared" ref="P2654:P2657" si="49">IF(J2654&gt;0,"Revenue",IF(J2654&lt;0,"Expense"))</f>
        <v>Expense</v>
      </c>
      <c r="Q2654" s="366" t="s">
        <v>2337</v>
      </c>
      <c r="R2654" s="366" t="s">
        <v>4351</v>
      </c>
      <c r="S2654" s="366">
        <v>522365</v>
      </c>
    </row>
    <row r="2655" spans="1:19" ht="15" hidden="1" outlineLevel="1">
      <c r="B2655" s="384">
        <v>2026</v>
      </c>
      <c r="C2655" s="384">
        <v>2</v>
      </c>
      <c r="D2655" s="367" t="s">
        <v>5</v>
      </c>
      <c r="E2655" s="367" t="s">
        <v>6</v>
      </c>
      <c r="F2655" s="389" t="s">
        <v>4344</v>
      </c>
      <c r="G2655" s="385">
        <v>45889</v>
      </c>
      <c r="H2655" s="367" t="s">
        <v>9</v>
      </c>
      <c r="I2655" s="368" t="str">
        <f>VLOOKUP(H2655,'Source Codes'!A$2:B$115,2,FALSE)</f>
        <v>On Line Journal Entries</v>
      </c>
      <c r="J2655" s="422">
        <v>-1542083</v>
      </c>
      <c r="K2655" s="385">
        <v>45896</v>
      </c>
      <c r="L2655" s="369" t="s">
        <v>4348</v>
      </c>
      <c r="M2655" s="390">
        <v>45896.87059027778</v>
      </c>
      <c r="N2655" s="366" t="s">
        <v>356</v>
      </c>
      <c r="O2655" s="367" t="s">
        <v>368</v>
      </c>
      <c r="P2655" s="368" t="str">
        <f t="shared" si="49"/>
        <v>Expense</v>
      </c>
      <c r="Q2655" s="366" t="s">
        <v>2219</v>
      </c>
      <c r="R2655" s="366" t="s">
        <v>4353</v>
      </c>
      <c r="S2655" s="366">
        <v>530280</v>
      </c>
    </row>
    <row r="2656" spans="1:19" ht="15" hidden="1" outlineLevel="1">
      <c r="B2656" s="384">
        <v>2026</v>
      </c>
      <c r="C2656" s="384">
        <v>2</v>
      </c>
      <c r="D2656" s="367" t="s">
        <v>5</v>
      </c>
      <c r="E2656" s="367" t="s">
        <v>6</v>
      </c>
      <c r="F2656" s="389" t="s">
        <v>4345</v>
      </c>
      <c r="G2656" s="385">
        <v>45880</v>
      </c>
      <c r="H2656" s="367" t="s">
        <v>337</v>
      </c>
      <c r="I2656" s="368" t="str">
        <f>VLOOKUP(H2656,'Source Codes'!A$2:B$115,2,FALSE)</f>
        <v>Facilities Mngmnt Intfc Jrnls</v>
      </c>
      <c r="J2656" s="422">
        <v>-2721515.43</v>
      </c>
      <c r="K2656" s="385">
        <v>45896</v>
      </c>
      <c r="L2656" s="369" t="s">
        <v>4349</v>
      </c>
      <c r="M2656" s="390">
        <v>45896.870706018519</v>
      </c>
      <c r="N2656" s="366" t="s">
        <v>356</v>
      </c>
      <c r="O2656" s="367" t="s">
        <v>367</v>
      </c>
      <c r="P2656" s="368" t="str">
        <f t="shared" si="49"/>
        <v>Expense</v>
      </c>
      <c r="Q2656" s="366" t="s">
        <v>2337</v>
      </c>
      <c r="R2656" s="366" t="s">
        <v>4352</v>
      </c>
      <c r="S2656" s="366">
        <v>522385</v>
      </c>
    </row>
    <row r="2657" spans="1:19" ht="30" hidden="1" outlineLevel="1">
      <c r="B2657" s="384">
        <v>2026</v>
      </c>
      <c r="C2657" s="384">
        <v>2</v>
      </c>
      <c r="D2657" s="367" t="s">
        <v>5</v>
      </c>
      <c r="E2657" s="367" t="s">
        <v>6</v>
      </c>
      <c r="F2657" s="389" t="s">
        <v>4346</v>
      </c>
      <c r="G2657" s="385">
        <v>45887</v>
      </c>
      <c r="H2657" s="367" t="s">
        <v>337</v>
      </c>
      <c r="I2657" s="368" t="str">
        <f>VLOOKUP(H2657,'Source Codes'!A$2:B$115,2,FALSE)</f>
        <v>Facilities Mngmnt Intfc Jrnls</v>
      </c>
      <c r="J2657" s="422">
        <v>-4298296.5199999996</v>
      </c>
      <c r="K2657" s="385">
        <v>45896</v>
      </c>
      <c r="L2657" s="369" t="s">
        <v>4350</v>
      </c>
      <c r="M2657" s="390">
        <v>45896.870706018519</v>
      </c>
      <c r="N2657" s="366" t="s">
        <v>356</v>
      </c>
      <c r="O2657" s="367" t="s">
        <v>367</v>
      </c>
      <c r="P2657" s="368" t="str">
        <f t="shared" si="49"/>
        <v>Expense</v>
      </c>
      <c r="Q2657" s="366" t="s">
        <v>2237</v>
      </c>
      <c r="R2657" s="366" t="s">
        <v>4040</v>
      </c>
      <c r="S2657" s="366" t="s">
        <v>2239</v>
      </c>
    </row>
    <row r="2658" spans="1:19" ht="12.75" customHeight="1" collapsed="1">
      <c r="J2658" s="413">
        <f>SUM(J2654:J2657)</f>
        <v>-9737488.8100000005</v>
      </c>
    </row>
    <row r="2660" spans="1:19" ht="12.75" customHeight="1">
      <c r="A2660" s="378" t="s">
        <v>4354</v>
      </c>
    </row>
    <row r="2661" spans="1:19" ht="45" hidden="1" outlineLevel="1">
      <c r="B2661" s="384">
        <v>2026</v>
      </c>
      <c r="C2661" s="384">
        <v>2</v>
      </c>
      <c r="D2661" s="367" t="s">
        <v>5</v>
      </c>
      <c r="E2661" s="367" t="s">
        <v>6</v>
      </c>
      <c r="F2661" s="389" t="s">
        <v>4355</v>
      </c>
      <c r="G2661" s="385">
        <v>45896</v>
      </c>
      <c r="H2661" s="367" t="s">
        <v>12</v>
      </c>
      <c r="I2661" s="368" t="str">
        <f>VLOOKUP(H2661,'Source Codes'!A$2:B$115,2,FALSE)</f>
        <v>AR Direct Cash Journal</v>
      </c>
      <c r="J2661" s="422">
        <v>4220077.99</v>
      </c>
      <c r="K2661" s="385">
        <v>45897</v>
      </c>
      <c r="L2661" s="369" t="s">
        <v>4359</v>
      </c>
      <c r="M2661" s="390">
        <v>45897.752430555556</v>
      </c>
      <c r="N2661" s="366" t="s">
        <v>356</v>
      </c>
      <c r="O2661" s="367" t="s">
        <v>371</v>
      </c>
      <c r="P2661" s="368" t="str">
        <f t="shared" ref="P2661:P2691" si="50">IF(J2661&gt;0,"Revenue",IF(J2661&lt;0,"Expense"))</f>
        <v>Revenue</v>
      </c>
      <c r="Q2661" s="366" t="s">
        <v>2316</v>
      </c>
      <c r="R2661" s="366" t="s">
        <v>2916</v>
      </c>
      <c r="S2661" s="366">
        <v>710020</v>
      </c>
    </row>
    <row r="2662" spans="1:19" ht="60" hidden="1" outlineLevel="1">
      <c r="B2662" s="384">
        <v>2026</v>
      </c>
      <c r="C2662" s="384">
        <v>2</v>
      </c>
      <c r="D2662" s="367" t="s">
        <v>5</v>
      </c>
      <c r="E2662" s="367" t="s">
        <v>6</v>
      </c>
      <c r="F2662" s="389" t="s">
        <v>4356</v>
      </c>
      <c r="G2662" s="385">
        <v>45897</v>
      </c>
      <c r="H2662" s="367" t="s">
        <v>11</v>
      </c>
      <c r="I2662" s="368" t="str">
        <f>VLOOKUP(H2662,'Source Codes'!A$2:B$115,2,FALSE)</f>
        <v>AR Payments</v>
      </c>
      <c r="J2662" s="422">
        <v>1041491.94</v>
      </c>
      <c r="K2662" s="385">
        <v>45897</v>
      </c>
      <c r="L2662" s="369" t="s">
        <v>4361</v>
      </c>
      <c r="M2662" s="390">
        <v>45897.752430555556</v>
      </c>
      <c r="N2662" s="366" t="s">
        <v>356</v>
      </c>
      <c r="O2662" s="367" t="s">
        <v>357</v>
      </c>
      <c r="P2662" s="368" t="str">
        <f t="shared" si="50"/>
        <v>Revenue</v>
      </c>
      <c r="Q2662" s="366" t="s">
        <v>2157</v>
      </c>
      <c r="R2662" s="366" t="s">
        <v>2857</v>
      </c>
      <c r="S2662" s="366" t="s">
        <v>4360</v>
      </c>
    </row>
    <row r="2663" spans="1:19" ht="15" hidden="1" outlineLevel="1">
      <c r="B2663" s="384">
        <v>2026</v>
      </c>
      <c r="C2663" s="384">
        <v>2</v>
      </c>
      <c r="D2663" s="367" t="s">
        <v>5</v>
      </c>
      <c r="E2663" s="367" t="s">
        <v>6</v>
      </c>
      <c r="F2663" s="389" t="s">
        <v>4357</v>
      </c>
      <c r="G2663" s="385">
        <v>45870</v>
      </c>
      <c r="H2663" s="367" t="s">
        <v>9</v>
      </c>
      <c r="I2663" s="368" t="str">
        <f>VLOOKUP(H2663,'Source Codes'!A$2:B$115,2,FALSE)</f>
        <v>On Line Journal Entries</v>
      </c>
      <c r="J2663" s="422">
        <v>-1712372.49</v>
      </c>
      <c r="K2663" s="385">
        <v>45897</v>
      </c>
      <c r="L2663" s="369" t="s">
        <v>4358</v>
      </c>
      <c r="M2663" s="390">
        <v>45897.321342592593</v>
      </c>
      <c r="N2663" s="366" t="s">
        <v>356</v>
      </c>
      <c r="O2663" s="367" t="s">
        <v>373</v>
      </c>
      <c r="P2663" s="368" t="str">
        <f t="shared" si="50"/>
        <v>Expense</v>
      </c>
      <c r="Q2663" s="366" t="s">
        <v>2476</v>
      </c>
      <c r="R2663" s="366" t="s">
        <v>4362</v>
      </c>
      <c r="S2663" s="366">
        <v>520945</v>
      </c>
    </row>
    <row r="2664" spans="1:19" ht="12.75" customHeight="1" collapsed="1">
      <c r="I2664" s="368"/>
      <c r="J2664" s="413">
        <f>SUM(J2661:J2663)</f>
        <v>3549197.4399999995</v>
      </c>
      <c r="P2664" s="368"/>
    </row>
    <row r="2665" spans="1:19" ht="12.75" customHeight="1">
      <c r="I2665" s="368"/>
      <c r="P2665" s="368"/>
    </row>
    <row r="2666" spans="1:19" ht="12.75" customHeight="1">
      <c r="A2666" s="378" t="s">
        <v>4363</v>
      </c>
      <c r="I2666" s="368"/>
      <c r="P2666" s="368"/>
    </row>
    <row r="2667" spans="1:19" ht="30" hidden="1" outlineLevel="1">
      <c r="B2667" s="384">
        <v>2026</v>
      </c>
      <c r="C2667" s="384">
        <v>2</v>
      </c>
      <c r="D2667" s="367" t="s">
        <v>5</v>
      </c>
      <c r="E2667" s="367" t="s">
        <v>6</v>
      </c>
      <c r="F2667" s="389" t="s">
        <v>4364</v>
      </c>
      <c r="G2667" s="385">
        <v>45897</v>
      </c>
      <c r="H2667" s="367" t="s">
        <v>12</v>
      </c>
      <c r="I2667" s="368" t="str">
        <f>VLOOKUP(H2667,'Source Codes'!A$2:B$115,2,FALSE)</f>
        <v>AR Direct Cash Journal</v>
      </c>
      <c r="J2667" s="422">
        <v>1880728.48</v>
      </c>
      <c r="K2667" s="385">
        <v>45898</v>
      </c>
      <c r="L2667" s="369" t="s">
        <v>4365</v>
      </c>
      <c r="M2667" s="390">
        <v>45898.75277777778</v>
      </c>
      <c r="N2667" s="366" t="s">
        <v>356</v>
      </c>
      <c r="O2667" s="367" t="s">
        <v>371</v>
      </c>
      <c r="P2667" s="368" t="str">
        <f t="shared" si="50"/>
        <v>Revenue</v>
      </c>
      <c r="Q2667" s="366" t="s">
        <v>2346</v>
      </c>
      <c r="R2667" s="366" t="s">
        <v>4353</v>
      </c>
      <c r="S2667" s="366" t="s">
        <v>4057</v>
      </c>
    </row>
    <row r="2668" spans="1:19" ht="30" hidden="1" outlineLevel="1">
      <c r="B2668" s="384">
        <v>2026</v>
      </c>
      <c r="C2668" s="384">
        <v>2</v>
      </c>
      <c r="D2668" s="367" t="s">
        <v>5</v>
      </c>
      <c r="E2668" s="367" t="s">
        <v>6</v>
      </c>
      <c r="F2668" s="389" t="s">
        <v>4366</v>
      </c>
      <c r="G2668" s="385">
        <v>45889</v>
      </c>
      <c r="H2668" s="367" t="s">
        <v>9</v>
      </c>
      <c r="I2668" s="368" t="str">
        <f>VLOOKUP(H2668,'Source Codes'!A$2:B$115,2,FALSE)</f>
        <v>On Line Journal Entries</v>
      </c>
      <c r="J2668" s="422">
        <v>10262765.109999999</v>
      </c>
      <c r="K2668" s="385">
        <v>45898</v>
      </c>
      <c r="L2668" s="369" t="s">
        <v>344</v>
      </c>
      <c r="M2668" s="390">
        <v>45898.37195601852</v>
      </c>
      <c r="N2668" s="366" t="s">
        <v>4368</v>
      </c>
      <c r="O2668" s="367" t="s">
        <v>364</v>
      </c>
      <c r="P2668" s="368" t="str">
        <f t="shared" si="50"/>
        <v>Revenue</v>
      </c>
      <c r="Q2668" s="366" t="s">
        <v>2232</v>
      </c>
      <c r="R2668" s="366" t="s">
        <v>2232</v>
      </c>
      <c r="S2668" s="366" t="s">
        <v>203</v>
      </c>
    </row>
    <row r="2669" spans="1:19" ht="45" hidden="1" outlineLevel="1">
      <c r="B2669" s="384">
        <v>2026</v>
      </c>
      <c r="C2669" s="384">
        <v>2</v>
      </c>
      <c r="D2669" s="367" t="s">
        <v>5</v>
      </c>
      <c r="E2669" s="367" t="s">
        <v>6</v>
      </c>
      <c r="F2669" s="389" t="s">
        <v>4367</v>
      </c>
      <c r="G2669" s="385">
        <v>45876</v>
      </c>
      <c r="H2669" s="367" t="s">
        <v>9</v>
      </c>
      <c r="I2669" s="368" t="str">
        <f>VLOOKUP(H2669,'Source Codes'!A$2:B$115,2,FALSE)</f>
        <v>On Line Journal Entries</v>
      </c>
      <c r="J2669" s="422">
        <v>-12430000</v>
      </c>
      <c r="K2669" s="385">
        <v>45898</v>
      </c>
      <c r="L2669" s="369" t="s">
        <v>4371</v>
      </c>
      <c r="M2669" s="390">
        <v>45898.371238425927</v>
      </c>
      <c r="N2669" s="366" t="s">
        <v>2185</v>
      </c>
      <c r="O2669" s="367" t="s">
        <v>358</v>
      </c>
      <c r="P2669" s="368" t="str">
        <f t="shared" si="50"/>
        <v>Expense</v>
      </c>
      <c r="Q2669" s="366" t="s">
        <v>4370</v>
      </c>
      <c r="R2669" s="366" t="s">
        <v>4369</v>
      </c>
      <c r="S2669" s="366">
        <v>551100</v>
      </c>
    </row>
    <row r="2670" spans="1:19" ht="12.75" customHeight="1" collapsed="1">
      <c r="I2670" s="368"/>
      <c r="J2670" s="413">
        <f>SUM(J2667:J2669)</f>
        <v>-286506.41000000015</v>
      </c>
      <c r="P2670" s="368"/>
    </row>
    <row r="2671" spans="1:19" ht="12.75" customHeight="1">
      <c r="I2671" s="368"/>
      <c r="P2671" s="368"/>
    </row>
    <row r="2672" spans="1:19" ht="12.75" customHeight="1">
      <c r="A2672" s="378" t="s">
        <v>4372</v>
      </c>
      <c r="I2672" s="368"/>
      <c r="P2672" s="368"/>
    </row>
    <row r="2673" spans="1:19" ht="30" hidden="1" outlineLevel="1">
      <c r="B2673" s="384">
        <v>2026</v>
      </c>
      <c r="C2673" s="384">
        <v>3</v>
      </c>
      <c r="D2673" s="367" t="s">
        <v>5</v>
      </c>
      <c r="E2673" s="367" t="s">
        <v>6</v>
      </c>
      <c r="F2673" s="389" t="s">
        <v>4373</v>
      </c>
      <c r="G2673" s="385">
        <v>45902</v>
      </c>
      <c r="H2673" s="367" t="s">
        <v>11</v>
      </c>
      <c r="I2673" s="368" t="str">
        <f>VLOOKUP(H2673,'Source Codes'!A$2:B$115,2,FALSE)</f>
        <v>AR Payments</v>
      </c>
      <c r="J2673" s="422">
        <v>2613828.2000000002</v>
      </c>
      <c r="K2673" s="385">
        <v>45902</v>
      </c>
      <c r="L2673" s="369" t="s">
        <v>4378</v>
      </c>
      <c r="M2673" s="390">
        <v>45902.752453703702</v>
      </c>
      <c r="N2673" s="366" t="s">
        <v>356</v>
      </c>
      <c r="O2673" s="367" t="s">
        <v>362</v>
      </c>
      <c r="P2673" s="368" t="str">
        <f t="shared" si="50"/>
        <v>Revenue</v>
      </c>
      <c r="Q2673" s="366" t="s">
        <v>2360</v>
      </c>
      <c r="R2673" s="366" t="s">
        <v>2715</v>
      </c>
      <c r="S2673" s="366" t="s">
        <v>4375</v>
      </c>
    </row>
    <row r="2674" spans="1:19" ht="45" hidden="1" outlineLevel="1">
      <c r="B2674" s="384">
        <v>2026</v>
      </c>
      <c r="C2674" s="384">
        <v>2</v>
      </c>
      <c r="D2674" s="367" t="s">
        <v>5</v>
      </c>
      <c r="E2674" s="367" t="s">
        <v>6</v>
      </c>
      <c r="F2674" s="389" t="s">
        <v>4374</v>
      </c>
      <c r="G2674" s="385">
        <v>45897</v>
      </c>
      <c r="H2674" s="367" t="s">
        <v>12</v>
      </c>
      <c r="I2674" s="368" t="str">
        <f>VLOOKUP(H2674,'Source Codes'!A$2:B$115,2,FALSE)</f>
        <v>AR Direct Cash Journal</v>
      </c>
      <c r="J2674" s="422">
        <v>21556400.350000001</v>
      </c>
      <c r="K2674" s="385">
        <v>45902</v>
      </c>
      <c r="L2674" s="369" t="s">
        <v>4376</v>
      </c>
      <c r="M2674" s="390">
        <v>45902.752453703702</v>
      </c>
      <c r="N2674" s="366" t="s">
        <v>356</v>
      </c>
      <c r="O2674" s="367" t="s">
        <v>368</v>
      </c>
      <c r="P2674" s="368" t="str">
        <f t="shared" si="50"/>
        <v>Revenue</v>
      </c>
      <c r="Q2674" s="366" t="s">
        <v>2177</v>
      </c>
      <c r="R2674" s="366" t="s">
        <v>2214</v>
      </c>
      <c r="S2674" s="366" t="s">
        <v>4377</v>
      </c>
    </row>
    <row r="2675" spans="1:19" ht="12.75" customHeight="1" collapsed="1">
      <c r="I2675" s="368"/>
      <c r="J2675" s="413">
        <f>SUM(J2673:J2674)</f>
        <v>24170228.550000001</v>
      </c>
      <c r="P2675" s="368"/>
    </row>
    <row r="2676" spans="1:19" ht="12.75" customHeight="1">
      <c r="I2676" s="368"/>
      <c r="P2676" s="368"/>
    </row>
    <row r="2677" spans="1:19" ht="12.75" customHeight="1">
      <c r="A2677" s="378" t="s">
        <v>4379</v>
      </c>
      <c r="I2677" s="368"/>
      <c r="P2677" s="368"/>
    </row>
    <row r="2678" spans="1:19" ht="30" hidden="1" outlineLevel="1">
      <c r="B2678" s="384">
        <v>2026</v>
      </c>
      <c r="C2678" s="384">
        <v>2</v>
      </c>
      <c r="D2678" s="367" t="s">
        <v>5</v>
      </c>
      <c r="E2678" s="367" t="s">
        <v>6</v>
      </c>
      <c r="F2678" s="389" t="s">
        <v>4380</v>
      </c>
      <c r="G2678" s="385">
        <v>45896</v>
      </c>
      <c r="H2678" s="367" t="s">
        <v>9</v>
      </c>
      <c r="I2678" s="368" t="str">
        <f>VLOOKUP(H2678,'Source Codes'!A$2:B$115,2,FALSE)</f>
        <v>On Line Journal Entries</v>
      </c>
      <c r="J2678" s="422">
        <v>23556782.91</v>
      </c>
      <c r="K2678" s="385">
        <v>45903</v>
      </c>
      <c r="L2678" s="369" t="s">
        <v>4384</v>
      </c>
      <c r="M2678" s="390">
        <v>45903.601226851853</v>
      </c>
      <c r="N2678" s="366" t="s">
        <v>356</v>
      </c>
      <c r="O2678" s="367" t="s">
        <v>371</v>
      </c>
      <c r="P2678" s="368" t="str">
        <f t="shared" si="50"/>
        <v>Revenue</v>
      </c>
      <c r="Q2678" s="366" t="s">
        <v>2158</v>
      </c>
      <c r="R2678" s="366" t="s">
        <v>4387</v>
      </c>
      <c r="S2678" s="366">
        <v>755120</v>
      </c>
    </row>
    <row r="2679" spans="1:19" ht="30" hidden="1" outlineLevel="1">
      <c r="B2679" s="384">
        <v>2026</v>
      </c>
      <c r="C2679" s="384">
        <v>3</v>
      </c>
      <c r="D2679" s="367" t="s">
        <v>5</v>
      </c>
      <c r="E2679" s="367" t="s">
        <v>6</v>
      </c>
      <c r="F2679" s="389" t="s">
        <v>4381</v>
      </c>
      <c r="G2679" s="385">
        <v>45902</v>
      </c>
      <c r="H2679" s="367" t="s">
        <v>9</v>
      </c>
      <c r="I2679" s="368" t="str">
        <f>VLOOKUP(H2679,'Source Codes'!A$2:B$115,2,FALSE)</f>
        <v>On Line Journal Entries</v>
      </c>
      <c r="J2679" s="422">
        <v>14750000</v>
      </c>
      <c r="K2679" s="385">
        <v>45903</v>
      </c>
      <c r="L2679" s="369" t="s">
        <v>2487</v>
      </c>
      <c r="M2679" s="390">
        <v>45903.352453703701</v>
      </c>
      <c r="N2679" s="366" t="s">
        <v>4388</v>
      </c>
      <c r="O2679" s="367" t="s">
        <v>371</v>
      </c>
      <c r="P2679" s="368" t="str">
        <f t="shared" si="50"/>
        <v>Revenue</v>
      </c>
      <c r="Q2679" s="366" t="s">
        <v>252</v>
      </c>
      <c r="R2679" s="366" t="s">
        <v>252</v>
      </c>
      <c r="S2679" s="366">
        <v>733030</v>
      </c>
    </row>
    <row r="2680" spans="1:19" ht="60" hidden="1" outlineLevel="1">
      <c r="B2680" s="384">
        <v>2026</v>
      </c>
      <c r="C2680" s="384">
        <v>2</v>
      </c>
      <c r="D2680" s="367" t="s">
        <v>5</v>
      </c>
      <c r="E2680" s="367" t="s">
        <v>6</v>
      </c>
      <c r="F2680" s="389" t="s">
        <v>4382</v>
      </c>
      <c r="G2680" s="385">
        <v>45896</v>
      </c>
      <c r="H2680" s="367" t="s">
        <v>9</v>
      </c>
      <c r="I2680" s="368" t="str">
        <f>VLOOKUP(H2680,'Source Codes'!A$2:B$115,2,FALSE)</f>
        <v>On Line Journal Entries</v>
      </c>
      <c r="J2680" s="422">
        <v>3348859.09</v>
      </c>
      <c r="K2680" s="385">
        <v>45903</v>
      </c>
      <c r="L2680" s="369" t="s">
        <v>4385</v>
      </c>
      <c r="M2680" s="390">
        <v>45903.320856481485</v>
      </c>
      <c r="N2680" s="366" t="s">
        <v>356</v>
      </c>
      <c r="O2680" s="367" t="s">
        <v>371</v>
      </c>
      <c r="P2680" s="368" t="str">
        <f t="shared" si="50"/>
        <v>Revenue</v>
      </c>
      <c r="Q2680" s="366" t="s">
        <v>3577</v>
      </c>
      <c r="R2680" s="366" t="s">
        <v>4389</v>
      </c>
      <c r="S2680" s="366">
        <v>750900</v>
      </c>
    </row>
    <row r="2681" spans="1:19" ht="15" hidden="1" outlineLevel="1">
      <c r="B2681" s="384">
        <v>2026</v>
      </c>
      <c r="C2681" s="384">
        <v>2</v>
      </c>
      <c r="D2681" s="367" t="s">
        <v>5</v>
      </c>
      <c r="E2681" s="367" t="s">
        <v>6</v>
      </c>
      <c r="F2681" s="389" t="s">
        <v>4383</v>
      </c>
      <c r="G2681" s="385">
        <v>45896</v>
      </c>
      <c r="H2681" s="367" t="s">
        <v>9</v>
      </c>
      <c r="I2681" s="368" t="str">
        <f>VLOOKUP(H2681,'Source Codes'!A$2:B$115,2,FALSE)</f>
        <v>On Line Journal Entries</v>
      </c>
      <c r="J2681" s="422">
        <v>1558868.46</v>
      </c>
      <c r="K2681" s="385">
        <v>45903</v>
      </c>
      <c r="L2681" s="369" t="s">
        <v>4386</v>
      </c>
      <c r="M2681" s="390">
        <v>45903.608668981484</v>
      </c>
      <c r="N2681" s="366" t="s">
        <v>356</v>
      </c>
      <c r="O2681" s="367" t="s">
        <v>371</v>
      </c>
      <c r="P2681" s="368" t="str">
        <f t="shared" si="50"/>
        <v>Revenue</v>
      </c>
      <c r="Q2681" s="366" t="s">
        <v>2164</v>
      </c>
      <c r="R2681" s="393">
        <v>45870</v>
      </c>
      <c r="S2681" s="366">
        <v>755909</v>
      </c>
    </row>
    <row r="2682" spans="1:19" ht="15" hidden="1" outlineLevel="1">
      <c r="B2682" s="384">
        <v>2026</v>
      </c>
      <c r="C2682" s="384">
        <v>3</v>
      </c>
      <c r="D2682" s="367" t="s">
        <v>5</v>
      </c>
      <c r="E2682" s="367" t="s">
        <v>6</v>
      </c>
      <c r="F2682" s="389" t="s">
        <v>4390</v>
      </c>
      <c r="G2682" s="385">
        <v>45902</v>
      </c>
      <c r="H2682" s="367" t="s">
        <v>13</v>
      </c>
      <c r="I2682" s="368" t="str">
        <f>VLOOKUP(H2682,'Source Codes'!A$2:B$115,2,FALSE)</f>
        <v>C-IV Voucher/Payments/EBT</v>
      </c>
      <c r="J2682" s="422">
        <v>-9827160.4600000009</v>
      </c>
      <c r="K2682" s="385">
        <v>45903</v>
      </c>
      <c r="L2682" s="369" t="s">
        <v>4391</v>
      </c>
      <c r="M2682" s="390">
        <v>45903.870578703703</v>
      </c>
      <c r="N2682" s="366" t="s">
        <v>356</v>
      </c>
      <c r="O2682" s="367" t="s">
        <v>364</v>
      </c>
      <c r="P2682" s="368" t="str">
        <f t="shared" si="50"/>
        <v>Expense</v>
      </c>
      <c r="Q2682" s="366" t="s">
        <v>2204</v>
      </c>
      <c r="R2682" s="365">
        <v>45901</v>
      </c>
      <c r="S2682" s="366">
        <v>530480</v>
      </c>
    </row>
    <row r="2683" spans="1:19" ht="12.75" customHeight="1" collapsed="1">
      <c r="I2683" s="368"/>
      <c r="J2683" s="413">
        <f>SUM(J2678:J2682)</f>
        <v>33387350</v>
      </c>
      <c r="P2683" s="368"/>
    </row>
    <row r="2684" spans="1:19" ht="12.75" customHeight="1">
      <c r="I2684" s="368"/>
      <c r="P2684" s="368"/>
    </row>
    <row r="2685" spans="1:19" ht="12.75" customHeight="1">
      <c r="A2685" s="378" t="s">
        <v>4392</v>
      </c>
      <c r="I2685" s="368"/>
      <c r="P2685" s="368"/>
    </row>
    <row r="2686" spans="1:19" ht="30" hidden="1" outlineLevel="1">
      <c r="B2686" s="384">
        <v>2026</v>
      </c>
      <c r="C2686" s="384">
        <v>3</v>
      </c>
      <c r="D2686" s="367" t="s">
        <v>5</v>
      </c>
      <c r="E2686" s="367" t="s">
        <v>6</v>
      </c>
      <c r="F2686" s="389" t="s">
        <v>4393</v>
      </c>
      <c r="G2686" s="385">
        <v>45901</v>
      </c>
      <c r="H2686" s="367" t="s">
        <v>9</v>
      </c>
      <c r="I2686" s="368" t="str">
        <f>VLOOKUP(H2686,'Source Codes'!A$2:B$115,2,FALSE)</f>
        <v>On Line Journal Entries</v>
      </c>
      <c r="J2686" s="422">
        <v>11344639</v>
      </c>
      <c r="K2686" s="385">
        <v>45904</v>
      </c>
      <c r="L2686" s="369" t="s">
        <v>344</v>
      </c>
      <c r="M2686" s="390">
        <v>45904.870787037034</v>
      </c>
      <c r="N2686" s="366" t="s">
        <v>356</v>
      </c>
      <c r="O2686" s="367" t="s">
        <v>364</v>
      </c>
      <c r="P2686" s="368" t="str">
        <f t="shared" si="50"/>
        <v>Revenue</v>
      </c>
      <c r="Q2686" s="366" t="s">
        <v>2232</v>
      </c>
      <c r="R2686" s="366" t="s">
        <v>2232</v>
      </c>
      <c r="S2686" s="366" t="s">
        <v>3587</v>
      </c>
    </row>
    <row r="2687" spans="1:19" ht="30" hidden="1" outlineLevel="1">
      <c r="B2687" s="384">
        <v>2026</v>
      </c>
      <c r="C2687" s="384">
        <v>3</v>
      </c>
      <c r="D2687" s="367" t="s">
        <v>5</v>
      </c>
      <c r="E2687" s="367" t="s">
        <v>6</v>
      </c>
      <c r="F2687" s="389" t="s">
        <v>4394</v>
      </c>
      <c r="G2687" s="385">
        <v>45901</v>
      </c>
      <c r="H2687" s="367" t="s">
        <v>9</v>
      </c>
      <c r="I2687" s="368" t="str">
        <f>VLOOKUP(H2687,'Source Codes'!A$2:B$115,2,FALSE)</f>
        <v>On Line Journal Entries</v>
      </c>
      <c r="J2687" s="422">
        <v>8622900</v>
      </c>
      <c r="K2687" s="385">
        <v>45904</v>
      </c>
      <c r="L2687" s="369" t="s">
        <v>344</v>
      </c>
      <c r="M2687" s="390">
        <v>45904.870787037034</v>
      </c>
      <c r="N2687" s="366" t="s">
        <v>356</v>
      </c>
      <c r="O2687" s="367" t="s">
        <v>364</v>
      </c>
      <c r="P2687" s="368" t="str">
        <f t="shared" si="50"/>
        <v>Revenue</v>
      </c>
      <c r="Q2687" s="366" t="s">
        <v>2232</v>
      </c>
      <c r="R2687" s="366" t="s">
        <v>2232</v>
      </c>
      <c r="S2687" s="366">
        <v>230141</v>
      </c>
    </row>
    <row r="2688" spans="1:19" ht="30" hidden="1" outlineLevel="1">
      <c r="B2688" s="384">
        <v>2026</v>
      </c>
      <c r="C2688" s="384">
        <v>3</v>
      </c>
      <c r="D2688" s="367" t="s">
        <v>5</v>
      </c>
      <c r="E2688" s="367" t="s">
        <v>6</v>
      </c>
      <c r="F2688" s="389" t="s">
        <v>4395</v>
      </c>
      <c r="G2688" s="385">
        <v>45901</v>
      </c>
      <c r="H2688" s="367" t="s">
        <v>9</v>
      </c>
      <c r="I2688" s="368" t="str">
        <f>VLOOKUP(H2688,'Source Codes'!A$2:B$115,2,FALSE)</f>
        <v>On Line Journal Entries</v>
      </c>
      <c r="J2688" s="422">
        <v>6802900</v>
      </c>
      <c r="K2688" s="385">
        <v>45904</v>
      </c>
      <c r="L2688" s="369" t="s">
        <v>344</v>
      </c>
      <c r="M2688" s="390">
        <v>45904.870787037034</v>
      </c>
      <c r="N2688" s="366" t="s">
        <v>356</v>
      </c>
      <c r="O2688" s="367" t="s">
        <v>364</v>
      </c>
      <c r="P2688" s="368" t="str">
        <f t="shared" si="50"/>
        <v>Revenue</v>
      </c>
      <c r="Q2688" s="366" t="s">
        <v>2232</v>
      </c>
      <c r="R2688" s="366" t="s">
        <v>2232</v>
      </c>
      <c r="S2688" s="366">
        <v>230141</v>
      </c>
    </row>
    <row r="2689" spans="1:19" ht="15" hidden="1" outlineLevel="1">
      <c r="B2689" s="384">
        <v>2026</v>
      </c>
      <c r="C2689" s="384">
        <v>3</v>
      </c>
      <c r="D2689" s="367" t="s">
        <v>5</v>
      </c>
      <c r="E2689" s="367" t="s">
        <v>6</v>
      </c>
      <c r="F2689" s="389" t="s">
        <v>4396</v>
      </c>
      <c r="G2689" s="385">
        <v>45903</v>
      </c>
      <c r="H2689" s="367" t="s">
        <v>9</v>
      </c>
      <c r="I2689" s="368" t="str">
        <f>VLOOKUP(H2689,'Source Codes'!A$2:B$115,2,FALSE)</f>
        <v>On Line Journal Entries</v>
      </c>
      <c r="J2689" s="422">
        <v>4122036.54</v>
      </c>
      <c r="K2689" s="385">
        <v>45904</v>
      </c>
      <c r="L2689" s="369" t="s">
        <v>4397</v>
      </c>
      <c r="M2689" s="390">
        <v>45904.870787037034</v>
      </c>
      <c r="N2689" s="366" t="s">
        <v>361</v>
      </c>
      <c r="O2689" s="367" t="s">
        <v>376</v>
      </c>
      <c r="P2689" s="368" t="str">
        <f t="shared" si="50"/>
        <v>Revenue</v>
      </c>
      <c r="Q2689" s="366" t="s">
        <v>2657</v>
      </c>
      <c r="R2689" s="366" t="s">
        <v>4398</v>
      </c>
      <c r="S2689" s="366">
        <v>755928</v>
      </c>
    </row>
    <row r="2690" spans="1:19" ht="45" hidden="1" outlineLevel="1">
      <c r="B2690" s="384">
        <v>2026</v>
      </c>
      <c r="C2690" s="384">
        <v>2</v>
      </c>
      <c r="D2690" s="367" t="s">
        <v>5</v>
      </c>
      <c r="E2690" s="367" t="s">
        <v>6</v>
      </c>
      <c r="F2690" s="389" t="s">
        <v>4399</v>
      </c>
      <c r="G2690" s="385">
        <v>45891</v>
      </c>
      <c r="H2690" s="367" t="s">
        <v>9</v>
      </c>
      <c r="I2690" s="368" t="str">
        <f>VLOOKUP(H2690,'Source Codes'!A$2:B$115,2,FALSE)</f>
        <v>On Line Journal Entries</v>
      </c>
      <c r="J2690" s="422">
        <v>-6660875</v>
      </c>
      <c r="K2690" s="385">
        <v>45904</v>
      </c>
      <c r="L2690" s="369" t="s">
        <v>4401</v>
      </c>
      <c r="M2690" s="390">
        <v>45904.367858796293</v>
      </c>
      <c r="N2690" s="366" t="s">
        <v>356</v>
      </c>
      <c r="O2690" s="367" t="s">
        <v>368</v>
      </c>
      <c r="P2690" s="368" t="str">
        <f t="shared" si="50"/>
        <v>Expense</v>
      </c>
      <c r="Q2690" s="366" t="s">
        <v>2270</v>
      </c>
      <c r="R2690" s="366" t="s">
        <v>4403</v>
      </c>
      <c r="S2690" s="366">
        <v>530280</v>
      </c>
    </row>
    <row r="2691" spans="1:19" ht="15" hidden="1" outlineLevel="1">
      <c r="B2691" s="384">
        <v>2026</v>
      </c>
      <c r="C2691" s="384">
        <v>3</v>
      </c>
      <c r="D2691" s="367" t="s">
        <v>5</v>
      </c>
      <c r="E2691" s="367" t="s">
        <v>6</v>
      </c>
      <c r="F2691" s="389" t="s">
        <v>4400</v>
      </c>
      <c r="G2691" s="385">
        <v>45901</v>
      </c>
      <c r="H2691" s="367" t="s">
        <v>13</v>
      </c>
      <c r="I2691" s="368" t="str">
        <f>VLOOKUP(H2691,'Source Codes'!A$2:B$115,2,FALSE)</f>
        <v>C-IV Voucher/Payments/EBT</v>
      </c>
      <c r="J2691" s="422">
        <v>-12099988.73</v>
      </c>
      <c r="K2691" s="385">
        <v>45904</v>
      </c>
      <c r="L2691" s="369" t="s">
        <v>4402</v>
      </c>
      <c r="M2691" s="390">
        <v>45904.870798611111</v>
      </c>
      <c r="N2691" s="366" t="s">
        <v>356</v>
      </c>
      <c r="O2691" s="367" t="s">
        <v>364</v>
      </c>
      <c r="P2691" s="368" t="str">
        <f t="shared" si="50"/>
        <v>Expense</v>
      </c>
      <c r="Q2691" s="366" t="s">
        <v>2204</v>
      </c>
      <c r="R2691" s="365">
        <v>45870</v>
      </c>
      <c r="S2691" s="366">
        <v>530480</v>
      </c>
    </row>
    <row r="2692" spans="1:19" ht="12.75" customHeight="1" collapsed="1">
      <c r="J2692" s="413">
        <f>SUM(J2686:J2691)</f>
        <v>12131611.809999999</v>
      </c>
    </row>
    <row r="2694" spans="1:19" ht="12.75" customHeight="1">
      <c r="A2694" s="378" t="s">
        <v>4405</v>
      </c>
    </row>
    <row r="2695" spans="1:19" ht="60" hidden="1" outlineLevel="1">
      <c r="B2695" s="384">
        <v>2026</v>
      </c>
      <c r="C2695" s="384">
        <v>3</v>
      </c>
      <c r="D2695" s="367" t="s">
        <v>5</v>
      </c>
      <c r="E2695" s="367" t="s">
        <v>6</v>
      </c>
      <c r="F2695" s="389" t="s">
        <v>4406</v>
      </c>
      <c r="G2695" s="385">
        <v>45908</v>
      </c>
      <c r="H2695" s="367" t="s">
        <v>14</v>
      </c>
      <c r="I2695" s="368" t="str">
        <f>VLOOKUP(H2695,'Source Codes'!A$2:B$115,2,FALSE)</f>
        <v>AP Warrant Issuance</v>
      </c>
      <c r="J2695" s="422">
        <v>-1655212.25</v>
      </c>
      <c r="K2695" s="385">
        <v>45908</v>
      </c>
      <c r="L2695" s="369" t="s">
        <v>4407</v>
      </c>
      <c r="M2695" s="390">
        <v>45908.758125</v>
      </c>
      <c r="N2695" s="368" t="s">
        <v>359</v>
      </c>
      <c r="O2695" s="368" t="s">
        <v>357</v>
      </c>
      <c r="P2695" s="368" t="s">
        <v>2613</v>
      </c>
      <c r="Q2695" s="366" t="s">
        <v>2309</v>
      </c>
      <c r="R2695" s="366" t="s">
        <v>2310</v>
      </c>
      <c r="S2695" s="366">
        <v>542060</v>
      </c>
    </row>
    <row r="2696" spans="1:19" ht="12.75" customHeight="1" collapsed="1">
      <c r="J2696" s="413">
        <f>SUM(J2695)</f>
        <v>-1655212.25</v>
      </c>
    </row>
    <row r="2698" spans="1:19" ht="12.75" customHeight="1">
      <c r="A2698" s="378" t="s">
        <v>4408</v>
      </c>
    </row>
    <row r="2699" spans="1:19" ht="60" hidden="1" outlineLevel="1">
      <c r="B2699" s="384">
        <v>2026</v>
      </c>
      <c r="C2699" s="384">
        <v>3</v>
      </c>
      <c r="D2699" s="367" t="s">
        <v>5</v>
      </c>
      <c r="E2699" s="367" t="s">
        <v>6</v>
      </c>
      <c r="F2699" s="389" t="s">
        <v>4409</v>
      </c>
      <c r="G2699" s="385">
        <v>45905</v>
      </c>
      <c r="H2699" s="367" t="s">
        <v>11</v>
      </c>
      <c r="I2699" s="368" t="str">
        <f>VLOOKUP(H2699,'Source Codes'!A$2:B$115,2,FALSE)</f>
        <v>AR Payments</v>
      </c>
      <c r="J2699" s="422">
        <v>4361004.03</v>
      </c>
      <c r="K2699" s="385">
        <v>45909</v>
      </c>
      <c r="L2699" s="369" t="s">
        <v>4414</v>
      </c>
      <c r="M2699" s="390">
        <v>45909.752303240741</v>
      </c>
      <c r="N2699" s="368" t="s">
        <v>356</v>
      </c>
      <c r="O2699" s="368" t="s">
        <v>357</v>
      </c>
      <c r="P2699" s="368" t="s">
        <v>2290</v>
      </c>
      <c r="Q2699" s="366" t="s">
        <v>2157</v>
      </c>
      <c r="R2699" s="366" t="s">
        <v>2857</v>
      </c>
      <c r="S2699" s="366" t="s">
        <v>2278</v>
      </c>
    </row>
    <row r="2700" spans="1:19" ht="30" hidden="1" outlineLevel="1">
      <c r="B2700" s="384">
        <v>2026</v>
      </c>
      <c r="C2700" s="384">
        <v>3</v>
      </c>
      <c r="D2700" s="367" t="s">
        <v>5</v>
      </c>
      <c r="E2700" s="367" t="s">
        <v>6</v>
      </c>
      <c r="F2700" s="389" t="s">
        <v>4410</v>
      </c>
      <c r="G2700" s="385">
        <v>45901</v>
      </c>
      <c r="H2700" s="367" t="s">
        <v>9</v>
      </c>
      <c r="I2700" s="368" t="str">
        <f>VLOOKUP(H2700,'Source Codes'!A$2:B$115,2,FALSE)</f>
        <v>On Line Journal Entries</v>
      </c>
      <c r="J2700" s="422">
        <v>23979334.5</v>
      </c>
      <c r="K2700" s="385">
        <v>45909</v>
      </c>
      <c r="L2700" s="369" t="s">
        <v>344</v>
      </c>
      <c r="M2700" s="390">
        <v>45909.309201388889</v>
      </c>
      <c r="N2700" s="368" t="s">
        <v>356</v>
      </c>
      <c r="O2700" s="368" t="s">
        <v>364</v>
      </c>
      <c r="P2700" s="368" t="s">
        <v>2290</v>
      </c>
      <c r="Q2700" s="366" t="s">
        <v>2232</v>
      </c>
      <c r="R2700" s="366" t="s">
        <v>2232</v>
      </c>
      <c r="S2700" s="366" t="s">
        <v>3587</v>
      </c>
    </row>
    <row r="2701" spans="1:19" ht="15" hidden="1" outlineLevel="1">
      <c r="B2701" s="384">
        <v>2026</v>
      </c>
      <c r="C2701" s="384">
        <v>3</v>
      </c>
      <c r="D2701" s="367" t="s">
        <v>5</v>
      </c>
      <c r="E2701" s="367" t="s">
        <v>6</v>
      </c>
      <c r="F2701" s="389" t="s">
        <v>4411</v>
      </c>
      <c r="G2701" s="385">
        <v>45903</v>
      </c>
      <c r="H2701" s="367" t="s">
        <v>7</v>
      </c>
      <c r="I2701" s="368" t="str">
        <f>VLOOKUP(H2701,'Source Codes'!A$2:B$115,2,FALSE)</f>
        <v>HRMS Interface Journals</v>
      </c>
      <c r="J2701" s="422">
        <v>-2514058.04</v>
      </c>
      <c r="K2701" s="385">
        <v>45909</v>
      </c>
      <c r="L2701" s="369" t="s">
        <v>409</v>
      </c>
      <c r="M2701" s="390">
        <v>45909.345625000002</v>
      </c>
      <c r="N2701" s="368" t="s">
        <v>378</v>
      </c>
      <c r="O2701" s="368" t="s">
        <v>379</v>
      </c>
      <c r="P2701" s="368" t="s">
        <v>2613</v>
      </c>
      <c r="Q2701" s="366" t="s">
        <v>379</v>
      </c>
      <c r="R2701" s="366" t="s">
        <v>4415</v>
      </c>
      <c r="S2701" s="366">
        <v>513120</v>
      </c>
    </row>
    <row r="2702" spans="1:19" ht="15" hidden="1" outlineLevel="1">
      <c r="B2702" s="384">
        <v>2026</v>
      </c>
      <c r="C2702" s="384">
        <v>3</v>
      </c>
      <c r="D2702" s="367" t="s">
        <v>5</v>
      </c>
      <c r="E2702" s="367" t="s">
        <v>6</v>
      </c>
      <c r="F2702" s="389" t="s">
        <v>4412</v>
      </c>
      <c r="G2702" s="385">
        <v>45903</v>
      </c>
      <c r="H2702" s="367" t="s">
        <v>7</v>
      </c>
      <c r="I2702" s="368" t="str">
        <f>VLOOKUP(H2702,'Source Codes'!A$2:B$115,2,FALSE)</f>
        <v>HRMS Interface Journals</v>
      </c>
      <c r="J2702" s="422">
        <v>-10224151.27</v>
      </c>
      <c r="K2702" s="385">
        <v>45909</v>
      </c>
      <c r="L2702" s="369" t="s">
        <v>407</v>
      </c>
      <c r="M2702" s="390">
        <v>45909.342129629629</v>
      </c>
      <c r="N2702" s="368" t="s">
        <v>378</v>
      </c>
      <c r="O2702" s="368" t="s">
        <v>379</v>
      </c>
      <c r="P2702" s="368" t="s">
        <v>2613</v>
      </c>
      <c r="Q2702" s="366" t="s">
        <v>379</v>
      </c>
      <c r="R2702" s="366" t="s">
        <v>4415</v>
      </c>
      <c r="S2702" s="366" t="s">
        <v>203</v>
      </c>
    </row>
    <row r="2703" spans="1:19" ht="15" hidden="1" outlineLevel="1">
      <c r="B2703" s="384">
        <v>2026</v>
      </c>
      <c r="C2703" s="384">
        <v>3</v>
      </c>
      <c r="D2703" s="367" t="s">
        <v>5</v>
      </c>
      <c r="E2703" s="367" t="s">
        <v>6</v>
      </c>
      <c r="F2703" s="389" t="s">
        <v>4413</v>
      </c>
      <c r="G2703" s="385">
        <v>45901</v>
      </c>
      <c r="H2703" s="367" t="s">
        <v>13</v>
      </c>
      <c r="I2703" s="368" t="str">
        <f>VLOOKUP(H2703,'Source Codes'!A$2:B$115,2,FALSE)</f>
        <v>C-IV Voucher/Payments/EBT</v>
      </c>
      <c r="J2703" s="422">
        <v>-16846810.609999999</v>
      </c>
      <c r="K2703" s="385">
        <v>45909</v>
      </c>
      <c r="L2703" s="369" t="s">
        <v>4416</v>
      </c>
      <c r="M2703" s="390">
        <v>45909.307951388888</v>
      </c>
      <c r="N2703" s="368" t="s">
        <v>356</v>
      </c>
      <c r="O2703" s="368" t="s">
        <v>364</v>
      </c>
      <c r="P2703" s="368" t="s">
        <v>2613</v>
      </c>
      <c r="Q2703" s="366" t="s">
        <v>2204</v>
      </c>
      <c r="R2703" s="365">
        <v>45901</v>
      </c>
      <c r="S2703" s="366">
        <v>530480</v>
      </c>
    </row>
    <row r="2704" spans="1:19" ht="12.75" customHeight="1" collapsed="1">
      <c r="I2704" s="368"/>
      <c r="J2704" s="413">
        <f>SUM(J2699:J2703)</f>
        <v>-1244681.3899999969</v>
      </c>
      <c r="P2704" s="368"/>
    </row>
    <row r="2705" spans="1:19" ht="12.75" customHeight="1">
      <c r="I2705" s="368"/>
      <c r="P2705" s="368"/>
    </row>
    <row r="2706" spans="1:19" ht="12.75" customHeight="1">
      <c r="A2706" s="378" t="s">
        <v>4417</v>
      </c>
      <c r="I2706" s="368"/>
      <c r="P2706" s="368"/>
    </row>
    <row r="2707" spans="1:19" ht="45" hidden="1" outlineLevel="1">
      <c r="B2707" s="384">
        <v>2026</v>
      </c>
      <c r="C2707" s="384">
        <v>3</v>
      </c>
      <c r="D2707" s="367" t="s">
        <v>5</v>
      </c>
      <c r="E2707" s="367" t="s">
        <v>6</v>
      </c>
      <c r="F2707" s="389" t="s">
        <v>4418</v>
      </c>
      <c r="G2707" s="385">
        <v>45908</v>
      </c>
      <c r="H2707" s="367" t="s">
        <v>11</v>
      </c>
      <c r="I2707" s="368" t="str">
        <f>VLOOKUP(H2707,'Source Codes'!A$2:B$115,2,FALSE)</f>
        <v>AR Payments</v>
      </c>
      <c r="J2707" s="422">
        <v>4073817.48</v>
      </c>
      <c r="K2707" s="385">
        <v>45910</v>
      </c>
      <c r="L2707" s="369" t="s">
        <v>4431</v>
      </c>
      <c r="M2707" s="390">
        <v>45910.752349537041</v>
      </c>
      <c r="N2707" s="368" t="s">
        <v>356</v>
      </c>
      <c r="O2707" s="368" t="s">
        <v>357</v>
      </c>
      <c r="P2707" s="368" t="str">
        <f t="shared" ref="P2707:P2712" si="51">IF(J2707&gt;0,"Revenue",IF(J2707&lt;0,"Expense"))</f>
        <v>Revenue</v>
      </c>
      <c r="Q2707" s="366" t="s">
        <v>2157</v>
      </c>
      <c r="R2707" s="366" t="s">
        <v>2857</v>
      </c>
      <c r="S2707" s="366" t="s">
        <v>3159</v>
      </c>
    </row>
    <row r="2708" spans="1:19" ht="30" hidden="1" outlineLevel="1">
      <c r="B2708" s="384">
        <v>2026</v>
      </c>
      <c r="C2708" s="384">
        <v>3</v>
      </c>
      <c r="D2708" s="367" t="s">
        <v>5</v>
      </c>
      <c r="E2708" s="367" t="s">
        <v>6</v>
      </c>
      <c r="F2708" s="389" t="s">
        <v>4419</v>
      </c>
      <c r="G2708" s="385">
        <v>45903</v>
      </c>
      <c r="H2708" s="367" t="s">
        <v>12</v>
      </c>
      <c r="I2708" s="368" t="str">
        <f>VLOOKUP(H2708,'Source Codes'!A$2:B$115,2,FALSE)</f>
        <v>AR Direct Cash Journal</v>
      </c>
      <c r="J2708" s="422">
        <v>8270641</v>
      </c>
      <c r="K2708" s="385">
        <v>45910</v>
      </c>
      <c r="L2708" s="369" t="s">
        <v>4432</v>
      </c>
      <c r="M2708" s="390">
        <v>45910.752349537041</v>
      </c>
      <c r="N2708" s="368" t="s">
        <v>387</v>
      </c>
      <c r="O2708" s="368" t="s">
        <v>358</v>
      </c>
      <c r="P2708" s="368" t="str">
        <f t="shared" si="51"/>
        <v>Revenue</v>
      </c>
      <c r="Q2708" s="366" t="s">
        <v>4420</v>
      </c>
      <c r="R2708" s="366" t="s">
        <v>4420</v>
      </c>
      <c r="S2708" s="366">
        <v>769270</v>
      </c>
    </row>
    <row r="2709" spans="1:19" ht="90" hidden="1" outlineLevel="1">
      <c r="B2709" s="384">
        <v>2026</v>
      </c>
      <c r="C2709" s="384">
        <v>3</v>
      </c>
      <c r="D2709" s="367" t="s">
        <v>5</v>
      </c>
      <c r="E2709" s="367" t="s">
        <v>6</v>
      </c>
      <c r="F2709" s="389" t="s">
        <v>4421</v>
      </c>
      <c r="G2709" s="385">
        <v>45909</v>
      </c>
      <c r="H2709" s="367" t="s">
        <v>9</v>
      </c>
      <c r="I2709" s="368" t="str">
        <f>VLOOKUP(H2709,'Source Codes'!A$2:B$115,2,FALSE)</f>
        <v>On Line Journal Entries</v>
      </c>
      <c r="J2709" s="422">
        <v>1032626.53</v>
      </c>
      <c r="K2709" s="385">
        <v>45910</v>
      </c>
      <c r="L2709" s="369" t="s">
        <v>4422</v>
      </c>
      <c r="M2709" s="390">
        <v>45910.397245370368</v>
      </c>
      <c r="N2709" s="368" t="s">
        <v>2185</v>
      </c>
      <c r="O2709" s="368" t="s">
        <v>364</v>
      </c>
      <c r="P2709" s="368" t="str">
        <f t="shared" si="51"/>
        <v>Revenue</v>
      </c>
      <c r="Q2709" s="366" t="s">
        <v>2232</v>
      </c>
      <c r="R2709" s="365" t="s">
        <v>3454</v>
      </c>
      <c r="S2709" s="366">
        <v>755921</v>
      </c>
    </row>
    <row r="2710" spans="1:19" ht="30" hidden="1" outlineLevel="1">
      <c r="B2710" s="384">
        <v>2026</v>
      </c>
      <c r="C2710" s="384">
        <v>3</v>
      </c>
      <c r="D2710" s="367" t="s">
        <v>5</v>
      </c>
      <c r="E2710" s="367" t="s">
        <v>6</v>
      </c>
      <c r="F2710" s="389" t="s">
        <v>4423</v>
      </c>
      <c r="G2710" s="385">
        <v>45909</v>
      </c>
      <c r="H2710" s="367" t="s">
        <v>337</v>
      </c>
      <c r="I2710" s="368" t="str">
        <f>VLOOKUP(H2710,'Source Codes'!A$2:B$115,2,FALSE)</f>
        <v>Facilities Mngmnt Intfc Jrnls</v>
      </c>
      <c r="J2710" s="422">
        <v>-1175593.8600000001</v>
      </c>
      <c r="K2710" s="385">
        <v>45910</v>
      </c>
      <c r="L2710" s="369" t="s">
        <v>4426</v>
      </c>
      <c r="M2710" s="390">
        <v>45910.589814814812</v>
      </c>
      <c r="N2710" s="368" t="s">
        <v>356</v>
      </c>
      <c r="O2710" s="368" t="s">
        <v>367</v>
      </c>
      <c r="P2710" s="368" t="str">
        <f t="shared" si="51"/>
        <v>Expense</v>
      </c>
      <c r="Q2710" s="366" t="s">
        <v>2337</v>
      </c>
      <c r="R2710" s="366" t="s">
        <v>4428</v>
      </c>
      <c r="S2710" s="366">
        <v>522365</v>
      </c>
    </row>
    <row r="2711" spans="1:19" ht="15" hidden="1" outlineLevel="1">
      <c r="B2711" s="384">
        <v>2026</v>
      </c>
      <c r="C2711" s="384">
        <v>3</v>
      </c>
      <c r="D2711" s="367" t="s">
        <v>5</v>
      </c>
      <c r="E2711" s="367" t="s">
        <v>6</v>
      </c>
      <c r="F2711" s="389" t="s">
        <v>4424</v>
      </c>
      <c r="G2711" s="385">
        <v>45909</v>
      </c>
      <c r="H2711" s="367" t="s">
        <v>337</v>
      </c>
      <c r="I2711" s="368" t="str">
        <f>VLOOKUP(H2711,'Source Codes'!A$2:B$115,2,FALSE)</f>
        <v>Facilities Mngmnt Intfc Jrnls</v>
      </c>
      <c r="J2711" s="422">
        <v>-2721515.43</v>
      </c>
      <c r="K2711" s="385">
        <v>45910</v>
      </c>
      <c r="L2711" s="369" t="s">
        <v>4427</v>
      </c>
      <c r="M2711" s="390">
        <v>45910.592465277776</v>
      </c>
      <c r="N2711" s="368" t="s">
        <v>356</v>
      </c>
      <c r="O2711" s="368" t="s">
        <v>367</v>
      </c>
      <c r="P2711" s="368" t="str">
        <f t="shared" si="51"/>
        <v>Expense</v>
      </c>
      <c r="Q2711" s="366" t="s">
        <v>2337</v>
      </c>
      <c r="R2711" s="366" t="s">
        <v>4429</v>
      </c>
      <c r="S2711" s="366">
        <v>522385</v>
      </c>
    </row>
    <row r="2712" spans="1:19" ht="15" hidden="1" outlineLevel="1">
      <c r="B2712" s="384">
        <v>2026</v>
      </c>
      <c r="C2712" s="384">
        <v>3</v>
      </c>
      <c r="D2712" s="367" t="s">
        <v>5</v>
      </c>
      <c r="E2712" s="367" t="s">
        <v>6</v>
      </c>
      <c r="F2712" s="389" t="s">
        <v>4425</v>
      </c>
      <c r="G2712" s="385">
        <v>45903</v>
      </c>
      <c r="H2712" s="367" t="s">
        <v>7</v>
      </c>
      <c r="I2712" s="368" t="str">
        <f>VLOOKUP(H2712,'Source Codes'!A$2:B$115,2,FALSE)</f>
        <v>HRMS Interface Journals</v>
      </c>
      <c r="J2712" s="422">
        <v>-73491643.890000001</v>
      </c>
      <c r="K2712" s="385">
        <v>45910</v>
      </c>
      <c r="L2712" s="369" t="s">
        <v>406</v>
      </c>
      <c r="M2712" s="390">
        <v>45910.317604166667</v>
      </c>
      <c r="N2712" s="368" t="s">
        <v>378</v>
      </c>
      <c r="O2712" s="368" t="s">
        <v>371</v>
      </c>
      <c r="P2712" s="368" t="str">
        <f t="shared" si="51"/>
        <v>Expense</v>
      </c>
      <c r="Q2712" s="366" t="s">
        <v>379</v>
      </c>
      <c r="R2712" s="366" t="s">
        <v>4415</v>
      </c>
      <c r="S2712" s="366" t="s">
        <v>203</v>
      </c>
    </row>
    <row r="2713" spans="1:19" ht="15" hidden="1" outlineLevel="1">
      <c r="B2713" s="384"/>
      <c r="C2713" s="384"/>
      <c r="D2713" s="367"/>
      <c r="E2713" s="367"/>
      <c r="F2713" s="389"/>
      <c r="G2713" s="385"/>
      <c r="H2713" s="367"/>
      <c r="I2713" s="368"/>
      <c r="J2713" s="413">
        <f>SUM(J2707:J2712)</f>
        <v>-64011668.170000002</v>
      </c>
      <c r="K2713" s="385"/>
      <c r="L2713" s="369"/>
      <c r="M2713" s="390"/>
      <c r="N2713" s="368"/>
      <c r="O2713" s="368"/>
      <c r="P2713" s="368"/>
      <c r="Q2713" s="366"/>
      <c r="R2713" s="365"/>
      <c r="S2713" s="366"/>
    </row>
    <row r="2714" spans="1:19" ht="12.75" customHeight="1" collapsed="1"/>
    <row r="2715" spans="1:19" ht="12.75" customHeight="1">
      <c r="A2715" s="378" t="s">
        <v>4433</v>
      </c>
    </row>
    <row r="2716" spans="1:19" ht="60" hidden="1" outlineLevel="1">
      <c r="B2716" s="384">
        <v>2026</v>
      </c>
      <c r="C2716" s="384">
        <v>3</v>
      </c>
      <c r="D2716" s="367" t="s">
        <v>5</v>
      </c>
      <c r="E2716" s="367" t="s">
        <v>6</v>
      </c>
      <c r="F2716" s="389" t="s">
        <v>4434</v>
      </c>
      <c r="G2716" s="385">
        <v>45915</v>
      </c>
      <c r="H2716" s="367" t="s">
        <v>14</v>
      </c>
      <c r="I2716" s="368" t="str">
        <f>VLOOKUP(H2716,'Source Codes'!A$2:B$115,2,FALSE)</f>
        <v>AP Warrant Issuance</v>
      </c>
      <c r="J2716" s="422">
        <v>-5525158.8899999997</v>
      </c>
      <c r="K2716" s="385">
        <v>45911</v>
      </c>
      <c r="L2716" s="369" t="s">
        <v>4436</v>
      </c>
      <c r="M2716" s="390">
        <v>45911.758969907409</v>
      </c>
      <c r="N2716" s="368" t="s">
        <v>356</v>
      </c>
      <c r="O2716" s="368" t="s">
        <v>364</v>
      </c>
      <c r="P2716" s="368" t="str">
        <f t="shared" ref="P2716:P2717" si="52">IF(J2716&gt;0,"Revenue",IF(J2716&lt;0,"Expense"))</f>
        <v>Expense</v>
      </c>
      <c r="Q2716" s="366" t="s">
        <v>2254</v>
      </c>
      <c r="R2716" s="365">
        <v>45901</v>
      </c>
      <c r="S2716" s="366">
        <v>530440</v>
      </c>
    </row>
    <row r="2717" spans="1:19" ht="30" hidden="1" outlineLevel="1">
      <c r="B2717" s="384">
        <v>2026</v>
      </c>
      <c r="C2717" s="384">
        <v>3</v>
      </c>
      <c r="D2717" s="367" t="s">
        <v>5</v>
      </c>
      <c r="E2717" s="367" t="s">
        <v>6</v>
      </c>
      <c r="F2717" s="389" t="s">
        <v>4435</v>
      </c>
      <c r="G2717" s="385">
        <v>45915</v>
      </c>
      <c r="H2717" s="367" t="s">
        <v>14</v>
      </c>
      <c r="I2717" s="368" t="str">
        <f>VLOOKUP(H2717,'Source Codes'!A$2:B$115,2,FALSE)</f>
        <v>AP Warrant Issuance</v>
      </c>
      <c r="J2717" s="422">
        <v>-1112201.9099999999</v>
      </c>
      <c r="K2717" s="385">
        <v>45911</v>
      </c>
      <c r="L2717" s="369" t="s">
        <v>4437</v>
      </c>
      <c r="M2717" s="390">
        <v>45911.758969907409</v>
      </c>
      <c r="N2717" s="368" t="s">
        <v>356</v>
      </c>
      <c r="O2717" s="368" t="s">
        <v>368</v>
      </c>
      <c r="P2717" s="368" t="str">
        <f t="shared" si="52"/>
        <v>Expense</v>
      </c>
      <c r="Q2717" s="366" t="s">
        <v>2154</v>
      </c>
      <c r="R2717" s="366" t="s">
        <v>2154</v>
      </c>
      <c r="S2717" s="366" t="s">
        <v>203</v>
      </c>
    </row>
    <row r="2718" spans="1:19" ht="12.75" customHeight="1" collapsed="1">
      <c r="J2718" s="413">
        <f>SUM(J2716:J2717)</f>
        <v>-6637360.7999999998</v>
      </c>
    </row>
    <row r="2720" spans="1:19" ht="12.75" customHeight="1">
      <c r="A2720" s="378" t="s">
        <v>4438</v>
      </c>
    </row>
    <row r="2721" spans="1:19" ht="30" hidden="1" outlineLevel="1">
      <c r="B2721" s="384">
        <v>2026</v>
      </c>
      <c r="C2721" s="384">
        <v>3</v>
      </c>
      <c r="D2721" s="367" t="s">
        <v>5</v>
      </c>
      <c r="E2721" s="367" t="s">
        <v>6</v>
      </c>
      <c r="F2721" s="389" t="s">
        <v>4439</v>
      </c>
      <c r="G2721" s="385">
        <v>45904</v>
      </c>
      <c r="H2721" s="367" t="s">
        <v>12</v>
      </c>
      <c r="I2721" s="368" t="str">
        <f>VLOOKUP(H2721,'Source Codes'!A$2:B$115,2,FALSE)</f>
        <v>AR Direct Cash Journal</v>
      </c>
      <c r="J2721" s="422">
        <v>1026862</v>
      </c>
      <c r="K2721" s="385">
        <v>45912</v>
      </c>
      <c r="L2721" s="369" t="s">
        <v>4443</v>
      </c>
      <c r="M2721" s="390">
        <v>45912.752106481479</v>
      </c>
      <c r="N2721" s="368" t="s">
        <v>361</v>
      </c>
      <c r="O2721" s="368" t="s">
        <v>368</v>
      </c>
      <c r="P2721" s="368" t="str">
        <f t="shared" ref="P2721:P2736" si="53">IF(J2721&gt;0,"Revenue",IF(J2721&lt;0,"Expense"))</f>
        <v>Revenue</v>
      </c>
      <c r="Q2721" s="366" t="s">
        <v>2177</v>
      </c>
      <c r="R2721" s="366" t="s">
        <v>3123</v>
      </c>
      <c r="S2721" s="366">
        <v>767200</v>
      </c>
    </row>
    <row r="2722" spans="1:19" ht="30" hidden="1" outlineLevel="1">
      <c r="B2722" s="384">
        <v>2026</v>
      </c>
      <c r="C2722" s="384">
        <v>3</v>
      </c>
      <c r="D2722" s="367" t="s">
        <v>5</v>
      </c>
      <c r="E2722" s="367" t="s">
        <v>6</v>
      </c>
      <c r="F2722" s="389" t="s">
        <v>4440</v>
      </c>
      <c r="G2722" s="385">
        <v>45912</v>
      </c>
      <c r="H2722" s="367" t="s">
        <v>12</v>
      </c>
      <c r="I2722" s="368" t="str">
        <f>VLOOKUP(H2722,'Source Codes'!A$2:B$115,2,FALSE)</f>
        <v>AR Direct Cash Journal</v>
      </c>
      <c r="J2722" s="422">
        <v>3132365.63</v>
      </c>
      <c r="K2722" s="385">
        <v>45912</v>
      </c>
      <c r="L2722" s="369" t="s">
        <v>402</v>
      </c>
      <c r="M2722" s="390">
        <v>45912.752106481479</v>
      </c>
      <c r="N2722" s="368" t="s">
        <v>356</v>
      </c>
      <c r="O2722" s="368" t="s">
        <v>371</v>
      </c>
      <c r="P2722" s="368" t="str">
        <f t="shared" si="53"/>
        <v>Revenue</v>
      </c>
      <c r="Q2722" s="366" t="s">
        <v>2346</v>
      </c>
      <c r="R2722" s="366" t="s">
        <v>2346</v>
      </c>
      <c r="S2722" s="366">
        <v>750200</v>
      </c>
    </row>
    <row r="2723" spans="1:19" ht="15" hidden="1" outlineLevel="1">
      <c r="B2723" s="384">
        <v>2026</v>
      </c>
      <c r="C2723" s="384">
        <v>3</v>
      </c>
      <c r="D2723" s="367" t="s">
        <v>5</v>
      </c>
      <c r="E2723" s="367" t="s">
        <v>6</v>
      </c>
      <c r="F2723" s="389" t="s">
        <v>4441</v>
      </c>
      <c r="G2723" s="385">
        <v>45911</v>
      </c>
      <c r="H2723" s="367" t="s">
        <v>8</v>
      </c>
      <c r="I2723" s="368" t="str">
        <f>VLOOKUP(H2723,'Source Codes'!A$2:B$115,2,FALSE)</f>
        <v>Prch,Cntrl Mail,Flt,Prntg,Sply</v>
      </c>
      <c r="J2723" s="422">
        <v>-2192535.0099999998</v>
      </c>
      <c r="K2723" s="385">
        <v>45912</v>
      </c>
      <c r="L2723" s="369" t="s">
        <v>4442</v>
      </c>
      <c r="M2723" s="390">
        <v>45912.585277777776</v>
      </c>
      <c r="N2723" s="368" t="s">
        <v>356</v>
      </c>
      <c r="O2723" s="368" t="s">
        <v>382</v>
      </c>
      <c r="P2723" s="368" t="str">
        <f t="shared" si="53"/>
        <v>Expense</v>
      </c>
      <c r="Q2723" s="366" t="s">
        <v>2328</v>
      </c>
      <c r="R2723" s="366" t="s">
        <v>4444</v>
      </c>
      <c r="S2723" s="366" t="s">
        <v>2535</v>
      </c>
    </row>
    <row r="2724" spans="1:19" ht="12.75" customHeight="1" collapsed="1">
      <c r="I2724" s="368"/>
      <c r="J2724" s="413">
        <f>SUM(J2721:J2723)</f>
        <v>1966692.62</v>
      </c>
      <c r="P2724" s="368"/>
    </row>
    <row r="2725" spans="1:19" ht="12.75" customHeight="1">
      <c r="I2725" s="368"/>
      <c r="P2725" s="368"/>
    </row>
    <row r="2726" spans="1:19" ht="12.75" customHeight="1">
      <c r="A2726" s="378" t="s">
        <v>4445</v>
      </c>
      <c r="I2726" s="368"/>
      <c r="P2726" s="368"/>
    </row>
    <row r="2727" spans="1:19" ht="105" hidden="1" outlineLevel="1">
      <c r="B2727" s="384">
        <v>2026</v>
      </c>
      <c r="C2727" s="384">
        <v>3</v>
      </c>
      <c r="D2727" s="367" t="s">
        <v>5</v>
      </c>
      <c r="E2727" s="367" t="s">
        <v>6</v>
      </c>
      <c r="F2727" s="389" t="s">
        <v>4446</v>
      </c>
      <c r="G2727" s="385">
        <v>45915</v>
      </c>
      <c r="H2727" s="367" t="s">
        <v>14</v>
      </c>
      <c r="I2727" s="368" t="str">
        <f>VLOOKUP(H2727,'Source Codes'!A$2:B$115,2,FALSE)</f>
        <v>AP Warrant Issuance</v>
      </c>
      <c r="J2727" s="422">
        <v>-8532035.5</v>
      </c>
      <c r="K2727" s="385">
        <v>45915</v>
      </c>
      <c r="L2727" s="369" t="s">
        <v>4448</v>
      </c>
      <c r="M2727" s="390">
        <v>45915.758530092593</v>
      </c>
      <c r="N2727" s="368" t="s">
        <v>361</v>
      </c>
      <c r="O2727" s="368" t="s">
        <v>358</v>
      </c>
      <c r="P2727" s="368" t="str">
        <f t="shared" si="53"/>
        <v>Expense</v>
      </c>
      <c r="Q2727" s="366" t="s">
        <v>4462</v>
      </c>
      <c r="R2727" s="366" t="s">
        <v>4452</v>
      </c>
      <c r="S2727" s="366">
        <v>536200</v>
      </c>
    </row>
    <row r="2728" spans="1:19" ht="90" hidden="1" outlineLevel="1">
      <c r="B2728" s="384">
        <v>2026</v>
      </c>
      <c r="C2728" s="384">
        <v>3</v>
      </c>
      <c r="D2728" s="367" t="s">
        <v>5</v>
      </c>
      <c r="E2728" s="367" t="s">
        <v>6</v>
      </c>
      <c r="F2728" s="389" t="s">
        <v>4447</v>
      </c>
      <c r="G2728" s="385">
        <v>45917</v>
      </c>
      <c r="H2728" s="367" t="s">
        <v>14</v>
      </c>
      <c r="I2728" s="368" t="str">
        <f>VLOOKUP(H2728,'Source Codes'!A$2:B$115,2,FALSE)</f>
        <v>AP Warrant Issuance</v>
      </c>
      <c r="J2728" s="422">
        <v>-2966075.65</v>
      </c>
      <c r="K2728" s="385">
        <v>45915</v>
      </c>
      <c r="L2728" s="369" t="s">
        <v>4449</v>
      </c>
      <c r="M2728" s="390">
        <v>45915.758530092593</v>
      </c>
      <c r="N2728" s="368" t="s">
        <v>4450</v>
      </c>
      <c r="O2728" s="368" t="s">
        <v>358</v>
      </c>
      <c r="P2728" s="368" t="str">
        <f t="shared" si="53"/>
        <v>Expense</v>
      </c>
      <c r="Q2728" s="366" t="s">
        <v>3120</v>
      </c>
      <c r="R2728" s="366" t="s">
        <v>4451</v>
      </c>
      <c r="S2728" s="366">
        <v>536200</v>
      </c>
    </row>
    <row r="2729" spans="1:19" ht="30" hidden="1" outlineLevel="1">
      <c r="B2729" s="384">
        <v>2026</v>
      </c>
      <c r="C2729" s="384">
        <v>3</v>
      </c>
      <c r="D2729" s="367" t="s">
        <v>5</v>
      </c>
      <c r="E2729" s="367" t="s">
        <v>6</v>
      </c>
      <c r="F2729" s="389" t="s">
        <v>4453</v>
      </c>
      <c r="G2729" s="385">
        <v>45915</v>
      </c>
      <c r="H2729" s="367" t="s">
        <v>11</v>
      </c>
      <c r="I2729" s="368" t="str">
        <f>VLOOKUP(H2729,'Source Codes'!A$2:B$115,2,FALSE)</f>
        <v>AR Payments</v>
      </c>
      <c r="J2729" s="422">
        <v>1206285.79</v>
      </c>
      <c r="K2729" s="385">
        <v>45915</v>
      </c>
      <c r="L2729" s="369" t="s">
        <v>4461</v>
      </c>
      <c r="M2729" s="390">
        <v>45915.752060185187</v>
      </c>
      <c r="N2729" s="368" t="s">
        <v>356</v>
      </c>
      <c r="O2729" s="368" t="s">
        <v>357</v>
      </c>
      <c r="P2729" s="368" t="str">
        <f t="shared" si="53"/>
        <v>Revenue</v>
      </c>
      <c r="Q2729" s="366" t="s">
        <v>2157</v>
      </c>
      <c r="R2729" s="366" t="s">
        <v>2857</v>
      </c>
      <c r="S2729" s="366" t="s">
        <v>2231</v>
      </c>
    </row>
    <row r="2730" spans="1:19" ht="60" hidden="1" outlineLevel="1">
      <c r="B2730" s="384">
        <v>2026</v>
      </c>
      <c r="C2730" s="384">
        <v>3</v>
      </c>
      <c r="D2730" s="367" t="s">
        <v>5</v>
      </c>
      <c r="E2730" s="367" t="s">
        <v>6</v>
      </c>
      <c r="F2730" s="389" t="s">
        <v>4454</v>
      </c>
      <c r="G2730" s="385">
        <v>45912</v>
      </c>
      <c r="H2730" s="367" t="s">
        <v>9</v>
      </c>
      <c r="I2730" s="368" t="str">
        <f>VLOOKUP(H2730,'Source Codes'!A$2:B$115,2,FALSE)</f>
        <v>On Line Journal Entries</v>
      </c>
      <c r="J2730" s="422">
        <v>-1161229.29</v>
      </c>
      <c r="K2730" s="385">
        <v>45915</v>
      </c>
      <c r="L2730" s="369" t="s">
        <v>4456</v>
      </c>
      <c r="M2730" s="390">
        <v>45915.439629629633</v>
      </c>
      <c r="N2730" s="368" t="s">
        <v>2185</v>
      </c>
      <c r="O2730" s="368" t="s">
        <v>371</v>
      </c>
      <c r="P2730" s="368" t="str">
        <f t="shared" si="53"/>
        <v>Expense</v>
      </c>
      <c r="Q2730" s="366" t="s">
        <v>4458</v>
      </c>
      <c r="R2730" s="366" t="s">
        <v>4458</v>
      </c>
      <c r="S2730" s="366">
        <v>208100</v>
      </c>
    </row>
    <row r="2731" spans="1:19" ht="30" hidden="1" outlineLevel="1">
      <c r="B2731" s="384">
        <v>2026</v>
      </c>
      <c r="C2731" s="384">
        <v>3</v>
      </c>
      <c r="D2731" s="367" t="s">
        <v>5</v>
      </c>
      <c r="E2731" s="367" t="s">
        <v>6</v>
      </c>
      <c r="F2731" s="389" t="s">
        <v>4455</v>
      </c>
      <c r="G2731" s="385">
        <v>45912</v>
      </c>
      <c r="H2731" s="367" t="s">
        <v>9</v>
      </c>
      <c r="I2731" s="368" t="str">
        <f>VLOOKUP(H2731,'Source Codes'!A$2:B$115,2,FALSE)</f>
        <v>On Line Journal Entries</v>
      </c>
      <c r="J2731" s="422">
        <v>-4544870.1500000004</v>
      </c>
      <c r="K2731" s="385">
        <v>45915</v>
      </c>
      <c r="L2731" s="369" t="s">
        <v>4457</v>
      </c>
      <c r="M2731" s="390">
        <v>45915.409884259258</v>
      </c>
      <c r="N2731" s="368" t="s">
        <v>2185</v>
      </c>
      <c r="O2731" s="368" t="s">
        <v>371</v>
      </c>
      <c r="P2731" s="368" t="str">
        <f t="shared" si="53"/>
        <v>Expense</v>
      </c>
      <c r="Q2731" s="366" t="s">
        <v>4460</v>
      </c>
      <c r="R2731" s="366" t="s">
        <v>4459</v>
      </c>
      <c r="S2731" s="366">
        <v>750250</v>
      </c>
    </row>
    <row r="2732" spans="1:19" ht="12.75" customHeight="1" collapsed="1">
      <c r="I2732" s="368"/>
      <c r="J2732" s="413">
        <f>SUM(J2727:J2731)</f>
        <v>-15997924.799999999</v>
      </c>
      <c r="P2732" s="368"/>
    </row>
    <row r="2733" spans="1:19" ht="12.75" customHeight="1">
      <c r="I2733" s="368"/>
      <c r="J2733" s="416"/>
      <c r="P2733" s="368"/>
    </row>
    <row r="2734" spans="1:19" ht="12.75" customHeight="1">
      <c r="A2734" s="378" t="s">
        <v>4463</v>
      </c>
      <c r="I2734" s="368"/>
      <c r="P2734" s="368"/>
    </row>
    <row r="2735" spans="1:19" ht="60" hidden="1" outlineLevel="1">
      <c r="B2735" s="384">
        <v>2026</v>
      </c>
      <c r="C2735" s="384">
        <v>3</v>
      </c>
      <c r="D2735" s="367" t="s">
        <v>5</v>
      </c>
      <c r="E2735" s="367" t="s">
        <v>6</v>
      </c>
      <c r="F2735" s="389" t="s">
        <v>4464</v>
      </c>
      <c r="G2735" s="385">
        <v>45915</v>
      </c>
      <c r="H2735" s="367" t="s">
        <v>11</v>
      </c>
      <c r="I2735" s="368" t="str">
        <f>VLOOKUP(H2735,'Source Codes'!A$2:B$115,2,FALSE)</f>
        <v>AR Payments</v>
      </c>
      <c r="J2735" s="422">
        <v>2803484.12</v>
      </c>
      <c r="K2735" s="385">
        <v>45916</v>
      </c>
      <c r="L2735" s="369" t="s">
        <v>4465</v>
      </c>
      <c r="M2735" s="390">
        <v>45916.752280092594</v>
      </c>
      <c r="N2735" s="368" t="s">
        <v>356</v>
      </c>
      <c r="O2735" s="368" t="s">
        <v>371</v>
      </c>
      <c r="P2735" s="368" t="str">
        <f t="shared" si="53"/>
        <v>Revenue</v>
      </c>
      <c r="Q2735" s="366" t="s">
        <v>2157</v>
      </c>
      <c r="R2735" s="366" t="s">
        <v>2857</v>
      </c>
      <c r="S2735" s="366" t="s">
        <v>2531</v>
      </c>
    </row>
    <row r="2736" spans="1:19" ht="30" hidden="1" outlineLevel="1">
      <c r="B2736" s="384">
        <v>2026</v>
      </c>
      <c r="C2736" s="384">
        <v>3</v>
      </c>
      <c r="D2736" s="367" t="s">
        <v>5</v>
      </c>
      <c r="E2736" s="367" t="s">
        <v>6</v>
      </c>
      <c r="F2736" s="389" t="s">
        <v>4466</v>
      </c>
      <c r="G2736" s="385">
        <v>45901</v>
      </c>
      <c r="H2736" s="367" t="s">
        <v>9</v>
      </c>
      <c r="I2736" s="368" t="str">
        <f>VLOOKUP(H2736,'Source Codes'!A$2:B$115,2,FALSE)</f>
        <v>On Line Journal Entries</v>
      </c>
      <c r="J2736" s="422">
        <v>-5537987</v>
      </c>
      <c r="K2736" s="385">
        <v>45916</v>
      </c>
      <c r="L2736" s="369" t="s">
        <v>4467</v>
      </c>
      <c r="M2736" s="390">
        <v>45916.544664351852</v>
      </c>
      <c r="N2736" s="368" t="s">
        <v>356</v>
      </c>
      <c r="O2736" s="368" t="s">
        <v>374</v>
      </c>
      <c r="P2736" s="368" t="str">
        <f t="shared" si="53"/>
        <v>Expense</v>
      </c>
      <c r="Q2736" s="366" t="s">
        <v>2202</v>
      </c>
      <c r="R2736" s="366" t="s">
        <v>4468</v>
      </c>
      <c r="S2736" s="366">
        <v>525840</v>
      </c>
    </row>
    <row r="2737" spans="1:19" ht="12.75" customHeight="1" collapsed="1">
      <c r="I2737" s="368"/>
      <c r="J2737" s="413">
        <f>SUM(J2735:J2736)</f>
        <v>-2734502.88</v>
      </c>
    </row>
    <row r="2738" spans="1:19" ht="12.75" customHeight="1">
      <c r="A2738" s="378" t="s">
        <v>4469</v>
      </c>
    </row>
    <row r="2739" spans="1:19" ht="30" hidden="1" outlineLevel="1">
      <c r="B2739" s="384">
        <v>2026</v>
      </c>
      <c r="C2739" s="384">
        <v>3</v>
      </c>
      <c r="D2739" s="367" t="s">
        <v>5</v>
      </c>
      <c r="E2739" s="367" t="s">
        <v>6</v>
      </c>
      <c r="F2739" s="389" t="s">
        <v>4470</v>
      </c>
      <c r="G2739" s="385">
        <v>45916</v>
      </c>
      <c r="H2739" s="367" t="s">
        <v>12</v>
      </c>
      <c r="I2739" s="368" t="str">
        <f>VLOOKUP(H2739,'Source Codes'!A$2:B$115,2,FALSE)</f>
        <v>AR Direct Cash Journal</v>
      </c>
      <c r="J2739" s="422">
        <v>-1851814.86</v>
      </c>
      <c r="K2739" s="385">
        <v>45917</v>
      </c>
      <c r="L2739" s="369" t="s">
        <v>4471</v>
      </c>
      <c r="M2739" s="390">
        <v>45917.752152777779</v>
      </c>
      <c r="N2739" s="368" t="s">
        <v>2185</v>
      </c>
      <c r="O2739" s="368" t="s">
        <v>357</v>
      </c>
      <c r="P2739" s="368" t="str">
        <f t="shared" ref="P2739:P2749" si="54">IF(J2739&gt;0,"Revenue",IF(J2739&lt;0,"Expense"))</f>
        <v>Expense</v>
      </c>
      <c r="Q2739" s="366" t="s">
        <v>2309</v>
      </c>
      <c r="R2739" s="366" t="s">
        <v>2309</v>
      </c>
      <c r="S2739" s="366">
        <v>773520</v>
      </c>
    </row>
    <row r="2740" spans="1:19" ht="12.75" customHeight="1" collapsed="1">
      <c r="I2740" s="368"/>
      <c r="J2740" s="413">
        <f>SUM(J2739)</f>
        <v>-1851814.86</v>
      </c>
      <c r="P2740" s="368"/>
    </row>
    <row r="2741" spans="1:19" ht="12.75" customHeight="1">
      <c r="I2741" s="368"/>
      <c r="P2741" s="368"/>
    </row>
    <row r="2742" spans="1:19" ht="12.75" customHeight="1">
      <c r="A2742" s="378" t="s">
        <v>4472</v>
      </c>
      <c r="I2742" s="368"/>
      <c r="P2742" s="368"/>
    </row>
    <row r="2743" spans="1:19" ht="30" hidden="1" outlineLevel="1">
      <c r="B2743" s="384">
        <v>2026</v>
      </c>
      <c r="C2743" s="384">
        <v>3</v>
      </c>
      <c r="D2743" s="367" t="s">
        <v>5</v>
      </c>
      <c r="E2743" s="367" t="s">
        <v>6</v>
      </c>
      <c r="F2743" s="389" t="s">
        <v>4473</v>
      </c>
      <c r="G2743" s="385">
        <v>45902</v>
      </c>
      <c r="H2743" s="367" t="s">
        <v>12</v>
      </c>
      <c r="I2743" s="368" t="str">
        <f>VLOOKUP(H2743,'Source Codes'!A$2:B$115,2,FALSE)</f>
        <v>AR Direct Cash Journal</v>
      </c>
      <c r="J2743" s="422">
        <v>33982919.899999999</v>
      </c>
      <c r="K2743" s="385">
        <v>45918</v>
      </c>
      <c r="L2743" s="369" t="s">
        <v>4488</v>
      </c>
      <c r="M2743" s="390">
        <v>45918.752106481479</v>
      </c>
      <c r="N2743" s="368" t="s">
        <v>356</v>
      </c>
      <c r="O2743" s="368" t="s">
        <v>368</v>
      </c>
      <c r="P2743" s="368" t="str">
        <f t="shared" si="54"/>
        <v>Revenue</v>
      </c>
      <c r="Q2743" s="366" t="s">
        <v>2177</v>
      </c>
      <c r="R2743" s="366" t="s">
        <v>2214</v>
      </c>
      <c r="S2743" s="366" t="s">
        <v>4377</v>
      </c>
    </row>
    <row r="2744" spans="1:19" ht="30" hidden="1" outlineLevel="1">
      <c r="B2744" s="384">
        <v>2026</v>
      </c>
      <c r="C2744" s="384">
        <v>3</v>
      </c>
      <c r="D2744" s="367" t="s">
        <v>5</v>
      </c>
      <c r="E2744" s="367" t="s">
        <v>6</v>
      </c>
      <c r="F2744" s="389" t="s">
        <v>4474</v>
      </c>
      <c r="G2744" s="385">
        <v>45915</v>
      </c>
      <c r="H2744" s="367" t="s">
        <v>9</v>
      </c>
      <c r="I2744" s="368" t="str">
        <f>VLOOKUP(H2744,'Source Codes'!A$2:B$115,2,FALSE)</f>
        <v>On Line Journal Entries</v>
      </c>
      <c r="J2744" s="422">
        <v>5331623</v>
      </c>
      <c r="K2744" s="385">
        <v>45918</v>
      </c>
      <c r="L2744" s="369" t="s">
        <v>4475</v>
      </c>
      <c r="M2744" s="390">
        <v>45918.321701388886</v>
      </c>
      <c r="N2744" s="368" t="s">
        <v>356</v>
      </c>
      <c r="O2744" s="368" t="s">
        <v>369</v>
      </c>
      <c r="P2744" s="368" t="str">
        <f t="shared" si="54"/>
        <v>Revenue</v>
      </c>
      <c r="Q2744" s="366" t="s">
        <v>2268</v>
      </c>
      <c r="R2744" s="365">
        <v>45901</v>
      </c>
      <c r="S2744" s="366" t="s">
        <v>2534</v>
      </c>
    </row>
    <row r="2745" spans="1:19" ht="15" hidden="1" outlineLevel="1">
      <c r="B2745" s="384">
        <v>2026</v>
      </c>
      <c r="C2745" s="384">
        <v>3</v>
      </c>
      <c r="D2745" s="367" t="s">
        <v>5</v>
      </c>
      <c r="E2745" s="367" t="s">
        <v>6</v>
      </c>
      <c r="F2745" s="389" t="s">
        <v>4476</v>
      </c>
      <c r="G2745" s="385">
        <v>45901</v>
      </c>
      <c r="H2745" s="367" t="s">
        <v>9</v>
      </c>
      <c r="I2745" s="368" t="str">
        <f>VLOOKUP(H2745,'Source Codes'!A$2:B$115,2,FALSE)</f>
        <v>On Line Journal Entries</v>
      </c>
      <c r="J2745" s="422">
        <v>-1712372.49</v>
      </c>
      <c r="K2745" s="385">
        <v>45918</v>
      </c>
      <c r="L2745" s="369" t="s">
        <v>4481</v>
      </c>
      <c r="M2745" s="390">
        <v>45918.554363425923</v>
      </c>
      <c r="N2745" s="368" t="s">
        <v>356</v>
      </c>
      <c r="O2745" s="368" t="s">
        <v>373</v>
      </c>
      <c r="P2745" s="368" t="str">
        <f t="shared" si="54"/>
        <v>Expense</v>
      </c>
      <c r="Q2745" s="366" t="s">
        <v>2476</v>
      </c>
      <c r="R2745" s="366" t="s">
        <v>4484</v>
      </c>
      <c r="S2745" s="366">
        <v>520945</v>
      </c>
    </row>
    <row r="2746" spans="1:19" ht="15" hidden="1" outlineLevel="1">
      <c r="B2746" s="384">
        <v>2026</v>
      </c>
      <c r="C2746" s="384">
        <v>3</v>
      </c>
      <c r="D2746" s="367" t="s">
        <v>5</v>
      </c>
      <c r="E2746" s="367" t="s">
        <v>6</v>
      </c>
      <c r="F2746" s="389" t="s">
        <v>4477</v>
      </c>
      <c r="G2746" s="385">
        <v>45917</v>
      </c>
      <c r="H2746" s="367" t="s">
        <v>7</v>
      </c>
      <c r="I2746" s="368" t="str">
        <f>VLOOKUP(H2746,'Source Codes'!A$2:B$115,2,FALSE)</f>
        <v>HRMS Interface Journals</v>
      </c>
      <c r="J2746" s="422">
        <v>-2510842.7400000002</v>
      </c>
      <c r="K2746" s="385">
        <v>45918</v>
      </c>
      <c r="L2746" s="369" t="s">
        <v>409</v>
      </c>
      <c r="M2746" s="390">
        <v>45918.416712962964</v>
      </c>
      <c r="N2746" s="368" t="s">
        <v>378</v>
      </c>
      <c r="O2746" s="368" t="s">
        <v>379</v>
      </c>
      <c r="P2746" s="368" t="str">
        <f t="shared" si="54"/>
        <v>Expense</v>
      </c>
      <c r="Q2746" s="366" t="s">
        <v>379</v>
      </c>
      <c r="R2746" s="365" t="s">
        <v>4485</v>
      </c>
      <c r="S2746" s="366">
        <v>513120</v>
      </c>
    </row>
    <row r="2747" spans="1:19" ht="30" hidden="1" outlineLevel="1">
      <c r="B2747" s="384">
        <v>2026</v>
      </c>
      <c r="C2747" s="384">
        <v>3</v>
      </c>
      <c r="D2747" s="367" t="s">
        <v>5</v>
      </c>
      <c r="E2747" s="367" t="s">
        <v>6</v>
      </c>
      <c r="F2747" s="389" t="s">
        <v>4478</v>
      </c>
      <c r="G2747" s="385">
        <v>45901</v>
      </c>
      <c r="H2747" s="367" t="s">
        <v>9</v>
      </c>
      <c r="I2747" s="368" t="str">
        <f>VLOOKUP(H2747,'Source Codes'!A$2:B$115,2,FALSE)</f>
        <v>On Line Journal Entries</v>
      </c>
      <c r="J2747" s="422">
        <v>-4444115.4000000004</v>
      </c>
      <c r="K2747" s="385">
        <v>45918</v>
      </c>
      <c r="L2747" s="369" t="s">
        <v>4482</v>
      </c>
      <c r="M2747" s="390">
        <v>45918.702488425923</v>
      </c>
      <c r="N2747" s="368" t="s">
        <v>356</v>
      </c>
      <c r="O2747" s="368" t="s">
        <v>373</v>
      </c>
      <c r="P2747" s="368" t="str">
        <f t="shared" si="54"/>
        <v>Expense</v>
      </c>
      <c r="Q2747" s="366" t="s">
        <v>2517</v>
      </c>
      <c r="R2747" s="365" t="s">
        <v>4486</v>
      </c>
      <c r="S2747" s="366">
        <v>517000</v>
      </c>
    </row>
    <row r="2748" spans="1:19" ht="30" hidden="1" outlineLevel="1">
      <c r="B2748" s="384">
        <v>2026</v>
      </c>
      <c r="C2748" s="384">
        <v>3</v>
      </c>
      <c r="D2748" s="367" t="s">
        <v>5</v>
      </c>
      <c r="E2748" s="367" t="s">
        <v>6</v>
      </c>
      <c r="F2748" s="389" t="s">
        <v>4479</v>
      </c>
      <c r="G2748" s="385">
        <v>45901</v>
      </c>
      <c r="H2748" s="367" t="s">
        <v>9</v>
      </c>
      <c r="I2748" s="368" t="str">
        <f>VLOOKUP(H2748,'Source Codes'!A$2:B$115,2,FALSE)</f>
        <v>On Line Journal Entries</v>
      </c>
      <c r="J2748" s="422">
        <v>-7576523.54</v>
      </c>
      <c r="K2748" s="385">
        <v>45918</v>
      </c>
      <c r="L2748" s="369" t="s">
        <v>4483</v>
      </c>
      <c r="M2748" s="390">
        <v>45918.70045138889</v>
      </c>
      <c r="N2748" s="368" t="s">
        <v>356</v>
      </c>
      <c r="O2748" s="368" t="s">
        <v>373</v>
      </c>
      <c r="P2748" s="368" t="str">
        <f t="shared" si="54"/>
        <v>Expense</v>
      </c>
      <c r="Q2748" s="366" t="s">
        <v>2569</v>
      </c>
      <c r="R2748" s="365" t="s">
        <v>4487</v>
      </c>
      <c r="S2748" s="366">
        <v>520930</v>
      </c>
    </row>
    <row r="2749" spans="1:19" ht="15" hidden="1" outlineLevel="1">
      <c r="B2749" s="384">
        <v>2026</v>
      </c>
      <c r="C2749" s="384">
        <v>3</v>
      </c>
      <c r="D2749" s="367" t="s">
        <v>5</v>
      </c>
      <c r="E2749" s="367" t="s">
        <v>6</v>
      </c>
      <c r="F2749" s="389" t="s">
        <v>4480</v>
      </c>
      <c r="G2749" s="385">
        <v>45917</v>
      </c>
      <c r="H2749" s="367" t="s">
        <v>7</v>
      </c>
      <c r="I2749" s="368" t="str">
        <f>VLOOKUP(H2749,'Source Codes'!A$2:B$115,2,FALSE)</f>
        <v>HRMS Interface Journals</v>
      </c>
      <c r="J2749" s="422">
        <v>-10382989.6</v>
      </c>
      <c r="K2749" s="385">
        <v>45918</v>
      </c>
      <c r="L2749" s="369" t="s">
        <v>407</v>
      </c>
      <c r="M2749" s="390">
        <v>45918.413055555553</v>
      </c>
      <c r="N2749" s="368" t="s">
        <v>356</v>
      </c>
      <c r="O2749" s="368" t="s">
        <v>378</v>
      </c>
      <c r="P2749" s="368" t="str">
        <f t="shared" si="54"/>
        <v>Expense</v>
      </c>
      <c r="Q2749" s="366" t="s">
        <v>379</v>
      </c>
      <c r="R2749" s="366" t="s">
        <v>4485</v>
      </c>
      <c r="S2749" s="366" t="s">
        <v>203</v>
      </c>
    </row>
    <row r="2750" spans="1:19" ht="12.75" customHeight="1" collapsed="1">
      <c r="J2750" s="413">
        <f>SUM(J2743:J2749)</f>
        <v>12687699.129999997</v>
      </c>
    </row>
    <row r="2752" spans="1:19" ht="12.75" customHeight="1">
      <c r="A2752" s="378" t="s">
        <v>4489</v>
      </c>
    </row>
    <row r="2753" spans="1:19" ht="30" hidden="1" outlineLevel="1">
      <c r="B2753" s="384">
        <v>2026</v>
      </c>
      <c r="C2753" s="384">
        <v>3</v>
      </c>
      <c r="D2753" s="367" t="s">
        <v>5</v>
      </c>
      <c r="E2753" s="367" t="s">
        <v>6</v>
      </c>
      <c r="F2753" s="389" t="s">
        <v>4490</v>
      </c>
      <c r="G2753" s="385">
        <v>45923</v>
      </c>
      <c r="H2753" s="367" t="s">
        <v>14</v>
      </c>
      <c r="I2753" s="368" t="str">
        <f>VLOOKUP(H2753,'Source Codes'!A$2:B$115,2,FALSE)</f>
        <v>AP Warrant Issuance</v>
      </c>
      <c r="J2753" s="422">
        <v>-1247243.78</v>
      </c>
      <c r="K2753" s="385">
        <v>45919</v>
      </c>
      <c r="L2753" s="369" t="s">
        <v>4491</v>
      </c>
      <c r="M2753" s="390">
        <v>45919.763148148151</v>
      </c>
      <c r="N2753" s="366" t="s">
        <v>356</v>
      </c>
      <c r="O2753" s="367" t="s">
        <v>368</v>
      </c>
      <c r="P2753" s="368" t="s">
        <v>2613</v>
      </c>
      <c r="Q2753" s="366" t="s">
        <v>2154</v>
      </c>
      <c r="R2753" s="366" t="s">
        <v>2154</v>
      </c>
      <c r="S2753" s="366" t="s">
        <v>203</v>
      </c>
    </row>
    <row r="2754" spans="1:19" ht="12.75" customHeight="1" collapsed="1">
      <c r="J2754" s="413">
        <f>SUM(J2753)</f>
        <v>-1247243.78</v>
      </c>
    </row>
    <row r="2756" spans="1:19" ht="12.75" customHeight="1">
      <c r="A2756" s="378" t="s">
        <v>4492</v>
      </c>
    </row>
    <row r="2757" spans="1:19" ht="45" hidden="1" outlineLevel="1">
      <c r="B2757" s="384">
        <v>2026</v>
      </c>
      <c r="C2757" s="384">
        <v>3</v>
      </c>
      <c r="D2757" s="367" t="s">
        <v>5</v>
      </c>
      <c r="E2757" s="367" t="s">
        <v>6</v>
      </c>
      <c r="F2757" s="389" t="s">
        <v>4493</v>
      </c>
      <c r="G2757" s="385">
        <v>45918</v>
      </c>
      <c r="H2757" s="367" t="s">
        <v>12</v>
      </c>
      <c r="I2757" s="368" t="str">
        <f>VLOOKUP(H2757,'Source Codes'!A$2:B$115,2,FALSE)</f>
        <v>AR Direct Cash Journal</v>
      </c>
      <c r="J2757" s="422">
        <v>2291678.39</v>
      </c>
      <c r="K2757" s="385">
        <v>45922</v>
      </c>
      <c r="L2757" s="369" t="s">
        <v>4498</v>
      </c>
      <c r="M2757" s="390">
        <v>45922.752187500002</v>
      </c>
      <c r="N2757" s="366" t="s">
        <v>361</v>
      </c>
      <c r="O2757" s="367" t="s">
        <v>370</v>
      </c>
      <c r="P2757" s="368" t="s">
        <v>2290</v>
      </c>
      <c r="Q2757" s="366" t="s">
        <v>2264</v>
      </c>
      <c r="R2757" s="366" t="s">
        <v>4497</v>
      </c>
      <c r="S2757" s="366" t="s">
        <v>203</v>
      </c>
    </row>
    <row r="2758" spans="1:19" ht="30" hidden="1" outlineLevel="1">
      <c r="B2758" s="384">
        <v>2026</v>
      </c>
      <c r="C2758" s="384">
        <v>3</v>
      </c>
      <c r="D2758" s="367" t="s">
        <v>5</v>
      </c>
      <c r="E2758" s="367" t="s">
        <v>6</v>
      </c>
      <c r="F2758" s="389" t="s">
        <v>4494</v>
      </c>
      <c r="G2758" s="385">
        <v>45917</v>
      </c>
      <c r="H2758" s="367" t="s">
        <v>2113</v>
      </c>
      <c r="I2758" s="368" t="s">
        <v>4496</v>
      </c>
      <c r="J2758" s="422">
        <v>-1024608.45</v>
      </c>
      <c r="K2758" s="385">
        <v>45922</v>
      </c>
      <c r="L2758" s="369" t="s">
        <v>4495</v>
      </c>
      <c r="M2758" s="390">
        <v>45922.399004629631</v>
      </c>
      <c r="N2758" s="368" t="s">
        <v>2185</v>
      </c>
      <c r="O2758" s="368" t="s">
        <v>366</v>
      </c>
      <c r="P2758" s="368" t="s">
        <v>2613</v>
      </c>
      <c r="Q2758" s="366" t="s">
        <v>379</v>
      </c>
      <c r="R2758" s="365" t="s">
        <v>4485</v>
      </c>
      <c r="S2758" s="366">
        <v>515040</v>
      </c>
    </row>
    <row r="2759" spans="1:19" ht="12.75" customHeight="1" collapsed="1">
      <c r="J2759" s="413">
        <f>SUM(J2757:J2758)</f>
        <v>1267069.9400000002</v>
      </c>
    </row>
    <row r="2761" spans="1:19" ht="12.75" customHeight="1">
      <c r="A2761" s="378" t="s">
        <v>4499</v>
      </c>
    </row>
    <row r="2762" spans="1:19" ht="30" hidden="1" outlineLevel="1">
      <c r="B2762" s="384">
        <v>2026</v>
      </c>
      <c r="C2762" s="384">
        <v>3</v>
      </c>
      <c r="D2762" s="367" t="s">
        <v>5</v>
      </c>
      <c r="E2762" s="367" t="s">
        <v>6</v>
      </c>
      <c r="F2762" s="389" t="s">
        <v>4500</v>
      </c>
      <c r="G2762" s="385">
        <v>45923</v>
      </c>
      <c r="H2762" s="367" t="s">
        <v>11</v>
      </c>
      <c r="I2762" s="368" t="str">
        <f>VLOOKUP(H2762,'Source Codes'!A$2:B$115,2,FALSE)</f>
        <v>AR Payments</v>
      </c>
      <c r="J2762" s="422">
        <v>1384064.02</v>
      </c>
      <c r="K2762" s="385">
        <v>45923</v>
      </c>
      <c r="L2762" s="369" t="s">
        <v>4502</v>
      </c>
      <c r="M2762" s="390">
        <v>45923.752337962964</v>
      </c>
      <c r="N2762" s="366" t="s">
        <v>356</v>
      </c>
      <c r="O2762" s="367" t="s">
        <v>357</v>
      </c>
      <c r="P2762" s="368" t="s">
        <v>2290</v>
      </c>
      <c r="Q2762" s="366" t="s">
        <v>2157</v>
      </c>
      <c r="R2762" s="366" t="s">
        <v>2157</v>
      </c>
      <c r="S2762" s="366">
        <v>118501</v>
      </c>
    </row>
    <row r="2763" spans="1:19" ht="45" hidden="1" outlineLevel="1">
      <c r="B2763" s="384">
        <v>2026</v>
      </c>
      <c r="C2763" s="384">
        <v>3</v>
      </c>
      <c r="D2763" s="367" t="s">
        <v>5</v>
      </c>
      <c r="E2763" s="367" t="s">
        <v>6</v>
      </c>
      <c r="F2763" s="389" t="s">
        <v>4501</v>
      </c>
      <c r="G2763" s="385">
        <v>45916</v>
      </c>
      <c r="H2763" s="367" t="s">
        <v>12</v>
      </c>
      <c r="I2763" s="368" t="str">
        <f>VLOOKUP(H2763,'Source Codes'!A$2:B$115,2,FALSE)</f>
        <v>AR Direct Cash Journal</v>
      </c>
      <c r="J2763" s="422">
        <v>1531882.95</v>
      </c>
      <c r="K2763" s="385">
        <v>45923</v>
      </c>
      <c r="L2763" s="369" t="s">
        <v>4504</v>
      </c>
      <c r="M2763" s="390">
        <v>45923.752337962964</v>
      </c>
      <c r="N2763" s="368" t="s">
        <v>356</v>
      </c>
      <c r="O2763" s="368" t="s">
        <v>368</v>
      </c>
      <c r="P2763" s="368" t="str">
        <f t="shared" ref="P2763" si="55">IF(J2763&gt;0,"Revenue",IF(J2763&lt;0,"Expense"))</f>
        <v>Revenue</v>
      </c>
      <c r="Q2763" s="366" t="s">
        <v>2177</v>
      </c>
      <c r="R2763" s="365" t="s">
        <v>3123</v>
      </c>
      <c r="S2763" s="366" t="s">
        <v>4503</v>
      </c>
    </row>
    <row r="2764" spans="1:19" ht="12.75" customHeight="1" collapsed="1">
      <c r="J2764" s="413">
        <f>SUM(J2762:J2763)</f>
        <v>2915946.9699999997</v>
      </c>
    </row>
    <row r="2766" spans="1:19" ht="12.75" customHeight="1">
      <c r="A2766" s="378" t="s">
        <v>4505</v>
      </c>
    </row>
    <row r="2767" spans="1:19" ht="75" hidden="1" outlineLevel="1">
      <c r="B2767" s="384">
        <v>2026</v>
      </c>
      <c r="C2767" s="384">
        <v>3</v>
      </c>
      <c r="D2767" s="367" t="s">
        <v>5</v>
      </c>
      <c r="E2767" s="367" t="s">
        <v>6</v>
      </c>
      <c r="F2767" s="389" t="s">
        <v>4506</v>
      </c>
      <c r="G2767" s="385">
        <v>45924</v>
      </c>
      <c r="H2767" s="367" t="s">
        <v>11</v>
      </c>
      <c r="I2767" s="368" t="str">
        <f>VLOOKUP(H2767,'Source Codes'!A$2:B$115,2,FALSE)</f>
        <v>AR Payments</v>
      </c>
      <c r="J2767" s="422">
        <v>1152970.08</v>
      </c>
      <c r="K2767" s="385">
        <v>45924</v>
      </c>
      <c r="L2767" s="369" t="s">
        <v>4522</v>
      </c>
      <c r="M2767" s="390">
        <v>45924.752384259256</v>
      </c>
      <c r="N2767" s="366" t="s">
        <v>356</v>
      </c>
      <c r="O2767" s="367" t="s">
        <v>357</v>
      </c>
      <c r="P2767" s="368" t="str">
        <f t="shared" ref="P2767:P2773" si="56">IF(J2767&gt;0,"Revenue",IF(J2767&lt;0,"Expense"))</f>
        <v>Revenue</v>
      </c>
      <c r="Q2767" s="366" t="s">
        <v>2157</v>
      </c>
      <c r="R2767" s="366" t="s">
        <v>2857</v>
      </c>
      <c r="S2767" s="366" t="s">
        <v>2531</v>
      </c>
    </row>
    <row r="2768" spans="1:19" ht="45" hidden="1" outlineLevel="1">
      <c r="B2768" s="384">
        <v>2026</v>
      </c>
      <c r="C2768" s="384">
        <v>3</v>
      </c>
      <c r="D2768" s="367" t="s">
        <v>5</v>
      </c>
      <c r="E2768" s="367" t="s">
        <v>6</v>
      </c>
      <c r="F2768" s="389" t="s">
        <v>4507</v>
      </c>
      <c r="G2768" s="385">
        <v>45923</v>
      </c>
      <c r="H2768" s="367" t="s">
        <v>11</v>
      </c>
      <c r="I2768" s="368" t="str">
        <f>VLOOKUP(H2768,'Source Codes'!A$2:B$115,2,FALSE)</f>
        <v>AR Payments</v>
      </c>
      <c r="J2768" s="422">
        <v>2545370.06</v>
      </c>
      <c r="K2768" s="385">
        <v>45924</v>
      </c>
      <c r="L2768" s="369" t="s">
        <v>4523</v>
      </c>
      <c r="M2768" s="390">
        <v>45924.752384259256</v>
      </c>
      <c r="N2768" s="366" t="s">
        <v>356</v>
      </c>
      <c r="O2768" s="367" t="s">
        <v>357</v>
      </c>
      <c r="P2768" s="368" t="str">
        <f t="shared" si="56"/>
        <v>Revenue</v>
      </c>
      <c r="Q2768" s="366" t="s">
        <v>2157</v>
      </c>
      <c r="R2768" s="366" t="s">
        <v>2857</v>
      </c>
      <c r="S2768" s="366" t="s">
        <v>2278</v>
      </c>
    </row>
    <row r="2769" spans="1:19" ht="45" hidden="1" outlineLevel="1">
      <c r="B2769" s="384">
        <v>2026</v>
      </c>
      <c r="C2769" s="384">
        <v>3</v>
      </c>
      <c r="D2769" s="367" t="s">
        <v>5</v>
      </c>
      <c r="E2769" s="367" t="s">
        <v>6</v>
      </c>
      <c r="F2769" s="389" t="s">
        <v>4508</v>
      </c>
      <c r="G2769" s="385">
        <v>45924</v>
      </c>
      <c r="H2769" s="367" t="s">
        <v>12</v>
      </c>
      <c r="I2769" s="368" t="str">
        <f>VLOOKUP(H2769,'Source Codes'!A$2:B$115,2,FALSE)</f>
        <v>AR Direct Cash Journal</v>
      </c>
      <c r="J2769" s="422">
        <v>3236488.72</v>
      </c>
      <c r="K2769" s="385">
        <v>45924</v>
      </c>
      <c r="L2769" s="369" t="s">
        <v>4517</v>
      </c>
      <c r="M2769" s="390">
        <v>45924.752384259256</v>
      </c>
      <c r="N2769" s="366" t="s">
        <v>356</v>
      </c>
      <c r="O2769" s="367" t="s">
        <v>371</v>
      </c>
      <c r="P2769" s="368" t="str">
        <f t="shared" si="56"/>
        <v>Revenue</v>
      </c>
      <c r="Q2769" s="366" t="s">
        <v>2316</v>
      </c>
      <c r="R2769" s="366" t="s">
        <v>4516</v>
      </c>
      <c r="S2769" s="366">
        <v>710020</v>
      </c>
    </row>
    <row r="2770" spans="1:19" ht="45" hidden="1" outlineLevel="1">
      <c r="B2770" s="384">
        <v>2026</v>
      </c>
      <c r="C2770" s="384">
        <v>3</v>
      </c>
      <c r="D2770" s="367" t="s">
        <v>5</v>
      </c>
      <c r="E2770" s="367" t="s">
        <v>6</v>
      </c>
      <c r="F2770" s="389" t="s">
        <v>4509</v>
      </c>
      <c r="G2770" s="385">
        <v>45919</v>
      </c>
      <c r="H2770" s="367" t="s">
        <v>12</v>
      </c>
      <c r="I2770" s="368" t="str">
        <f>VLOOKUP(H2770,'Source Codes'!A$2:B$115,2,FALSE)</f>
        <v>AR Direct Cash Journal</v>
      </c>
      <c r="J2770" s="422">
        <v>10257823.91</v>
      </c>
      <c r="K2770" s="385">
        <v>45924</v>
      </c>
      <c r="L2770" s="369" t="s">
        <v>4524</v>
      </c>
      <c r="M2770" s="390">
        <v>45924.752384259256</v>
      </c>
      <c r="N2770" s="368" t="s">
        <v>359</v>
      </c>
      <c r="O2770" s="368" t="s">
        <v>362</v>
      </c>
      <c r="P2770" s="368" t="str">
        <f t="shared" si="56"/>
        <v>Revenue</v>
      </c>
      <c r="Q2770" s="366" t="s">
        <v>2360</v>
      </c>
      <c r="R2770" s="366" t="s">
        <v>2715</v>
      </c>
      <c r="S2770" s="366" t="s">
        <v>4525</v>
      </c>
    </row>
    <row r="2771" spans="1:19" ht="45" hidden="1" outlineLevel="1">
      <c r="B2771" s="384">
        <v>2026</v>
      </c>
      <c r="C2771" s="384">
        <v>3</v>
      </c>
      <c r="D2771" s="367" t="s">
        <v>5</v>
      </c>
      <c r="E2771" s="367" t="s">
        <v>6</v>
      </c>
      <c r="F2771" s="389" t="s">
        <v>4510</v>
      </c>
      <c r="G2771" s="385">
        <v>45922</v>
      </c>
      <c r="H2771" s="367" t="s">
        <v>86</v>
      </c>
      <c r="I2771" s="368" t="s">
        <v>87</v>
      </c>
      <c r="J2771" s="422">
        <v>2567223</v>
      </c>
      <c r="K2771" s="385">
        <v>45924</v>
      </c>
      <c r="L2771" s="369" t="s">
        <v>4513</v>
      </c>
      <c r="M2771" s="390">
        <v>45924.366412037038</v>
      </c>
      <c r="N2771" s="368" t="s">
        <v>2185</v>
      </c>
      <c r="O2771" s="368" t="s">
        <v>4518</v>
      </c>
      <c r="P2771" s="368" t="str">
        <f t="shared" si="56"/>
        <v>Revenue</v>
      </c>
      <c r="Q2771" s="366" t="s">
        <v>4519</v>
      </c>
      <c r="R2771" s="365" t="s">
        <v>4520</v>
      </c>
      <c r="S2771" s="366">
        <v>125100</v>
      </c>
    </row>
    <row r="2772" spans="1:19" ht="60" hidden="1" outlineLevel="1">
      <c r="B2772" s="384">
        <v>2026</v>
      </c>
      <c r="C2772" s="384">
        <v>3</v>
      </c>
      <c r="D2772" s="367" t="s">
        <v>5</v>
      </c>
      <c r="E2772" s="367" t="s">
        <v>6</v>
      </c>
      <c r="F2772" s="389" t="s">
        <v>4511</v>
      </c>
      <c r="G2772" s="385">
        <v>45923</v>
      </c>
      <c r="H2772" s="367" t="s">
        <v>9</v>
      </c>
      <c r="I2772" s="368" t="str">
        <f>VLOOKUP(H2772,'Source Codes'!A$2:B$115,2,FALSE)</f>
        <v>On Line Journal Entries</v>
      </c>
      <c r="J2772" s="422">
        <v>1166949.48</v>
      </c>
      <c r="K2772" s="385">
        <v>45924</v>
      </c>
      <c r="L2772" s="369" t="s">
        <v>4514</v>
      </c>
      <c r="M2772" s="390">
        <v>45924.871134259258</v>
      </c>
      <c r="N2772" s="366" t="s">
        <v>356</v>
      </c>
      <c r="O2772" s="367" t="s">
        <v>371</v>
      </c>
      <c r="P2772" s="368" t="str">
        <f t="shared" si="56"/>
        <v>Revenue</v>
      </c>
      <c r="Q2772" s="366" t="s">
        <v>4526</v>
      </c>
      <c r="R2772" s="393">
        <v>45839</v>
      </c>
      <c r="S2772" s="366" t="s">
        <v>4521</v>
      </c>
    </row>
    <row r="2773" spans="1:19" ht="60" hidden="1" outlineLevel="1">
      <c r="B2773" s="384">
        <v>2026</v>
      </c>
      <c r="C2773" s="384">
        <v>3</v>
      </c>
      <c r="D2773" s="367" t="s">
        <v>5</v>
      </c>
      <c r="E2773" s="367" t="s">
        <v>6</v>
      </c>
      <c r="F2773" s="389" t="s">
        <v>4512</v>
      </c>
      <c r="G2773" s="385">
        <v>45924</v>
      </c>
      <c r="H2773" s="367" t="s">
        <v>9</v>
      </c>
      <c r="I2773" s="368" t="str">
        <f>VLOOKUP(H2773,'Source Codes'!A$2:B$115,2,FALSE)</f>
        <v>On Line Journal Entries</v>
      </c>
      <c r="J2773" s="422">
        <v>-2138483</v>
      </c>
      <c r="K2773" s="385">
        <v>45924</v>
      </c>
      <c r="L2773" s="369" t="s">
        <v>4515</v>
      </c>
      <c r="M2773" s="390">
        <v>45924.629479166666</v>
      </c>
      <c r="N2773" s="368" t="s">
        <v>2185</v>
      </c>
      <c r="O2773" s="368" t="s">
        <v>358</v>
      </c>
      <c r="P2773" s="368" t="str">
        <f t="shared" si="56"/>
        <v>Expense</v>
      </c>
      <c r="Q2773" s="366" t="s">
        <v>2479</v>
      </c>
      <c r="R2773" s="366" t="s">
        <v>2479</v>
      </c>
      <c r="S2773" s="366">
        <v>206200</v>
      </c>
    </row>
    <row r="2774" spans="1:19" ht="12.75" customHeight="1" collapsed="1">
      <c r="J2774" s="413">
        <f>SUM(J2767:J2773)</f>
        <v>18788342.25</v>
      </c>
    </row>
    <row r="2776" spans="1:19" ht="12.75" customHeight="1">
      <c r="A2776" s="378" t="s">
        <v>4527</v>
      </c>
    </row>
    <row r="2777" spans="1:19" ht="30" hidden="1" outlineLevel="1">
      <c r="B2777" s="384">
        <v>2026</v>
      </c>
      <c r="C2777" s="384">
        <v>3</v>
      </c>
      <c r="D2777" s="367" t="s">
        <v>5</v>
      </c>
      <c r="E2777" s="367" t="s">
        <v>6</v>
      </c>
      <c r="F2777" s="389" t="s">
        <v>4528</v>
      </c>
      <c r="G2777" s="385">
        <v>45919</v>
      </c>
      <c r="H2777" s="367" t="s">
        <v>12</v>
      </c>
      <c r="I2777" s="368" t="str">
        <f>VLOOKUP(H2777,'Source Codes'!A$2:B$115,2,FALSE)</f>
        <v>AR Direct Cash Journal</v>
      </c>
      <c r="J2777" s="422">
        <v>1114921.8999999999</v>
      </c>
      <c r="K2777" s="385">
        <v>45925</v>
      </c>
      <c r="L2777" s="369" t="s">
        <v>4537</v>
      </c>
      <c r="M2777" s="390">
        <v>45925.752256944441</v>
      </c>
      <c r="N2777" s="368" t="s">
        <v>361</v>
      </c>
      <c r="O2777" s="368" t="s">
        <v>368</v>
      </c>
      <c r="P2777" s="368" t="str">
        <f t="shared" ref="P2777:P2808" si="57">IF(J2777&gt;0,"Revenue",IF(J2777&lt;0,"Expense"))</f>
        <v>Revenue</v>
      </c>
      <c r="Q2777" s="366" t="s">
        <v>2177</v>
      </c>
      <c r="R2777" s="366" t="s">
        <v>3123</v>
      </c>
      <c r="S2777" s="366" t="s">
        <v>4536</v>
      </c>
    </row>
    <row r="2778" spans="1:19" ht="30" hidden="1" outlineLevel="1">
      <c r="B2778" s="384">
        <v>2026</v>
      </c>
      <c r="C2778" s="384">
        <v>3</v>
      </c>
      <c r="D2778" s="367" t="s">
        <v>5</v>
      </c>
      <c r="E2778" s="367" t="s">
        <v>6</v>
      </c>
      <c r="F2778" s="389" t="s">
        <v>4529</v>
      </c>
      <c r="G2778" s="385">
        <v>45911</v>
      </c>
      <c r="H2778" s="367" t="s">
        <v>12</v>
      </c>
      <c r="I2778" s="368" t="str">
        <f>VLOOKUP(H2778,'Source Codes'!A$2:B$115,2,FALSE)</f>
        <v>AR Direct Cash Journal</v>
      </c>
      <c r="J2778" s="422">
        <v>18473538.870000001</v>
      </c>
      <c r="K2778" s="385">
        <v>45925</v>
      </c>
      <c r="L2778" s="369" t="s">
        <v>4538</v>
      </c>
      <c r="M2778" s="390">
        <v>45925.752256944441</v>
      </c>
      <c r="N2778" s="368" t="s">
        <v>356</v>
      </c>
      <c r="O2778" s="368" t="s">
        <v>368</v>
      </c>
      <c r="P2778" s="368" t="str">
        <f t="shared" si="57"/>
        <v>Revenue</v>
      </c>
      <c r="Q2778" s="366" t="s">
        <v>2177</v>
      </c>
      <c r="R2778" s="366" t="s">
        <v>2214</v>
      </c>
      <c r="S2778" s="366" t="s">
        <v>4539</v>
      </c>
    </row>
    <row r="2779" spans="1:19" ht="30" hidden="1" outlineLevel="1">
      <c r="B2779" s="384">
        <v>2026</v>
      </c>
      <c r="C2779" s="384">
        <v>3</v>
      </c>
      <c r="D2779" s="367" t="s">
        <v>5</v>
      </c>
      <c r="E2779" s="367" t="s">
        <v>6</v>
      </c>
      <c r="F2779" s="389" t="s">
        <v>4530</v>
      </c>
      <c r="G2779" s="385">
        <v>45918</v>
      </c>
      <c r="H2779" s="367" t="s">
        <v>9</v>
      </c>
      <c r="I2779" s="368" t="str">
        <f>VLOOKUP(H2779,'Source Codes'!A$2:B$115,2,FALSE)</f>
        <v>On Line Journal Entries</v>
      </c>
      <c r="J2779" s="422">
        <v>6887521</v>
      </c>
      <c r="K2779" s="385">
        <v>45925</v>
      </c>
      <c r="L2779" s="369" t="s">
        <v>344</v>
      </c>
      <c r="M2779" s="390">
        <v>45925.519074074073</v>
      </c>
      <c r="N2779" s="368" t="s">
        <v>356</v>
      </c>
      <c r="O2779" s="368" t="s">
        <v>364</v>
      </c>
      <c r="P2779" s="368" t="str">
        <f t="shared" si="57"/>
        <v>Revenue</v>
      </c>
      <c r="Q2779" s="366" t="s">
        <v>2232</v>
      </c>
      <c r="R2779" s="366" t="s">
        <v>2232</v>
      </c>
      <c r="S2779" s="366" t="s">
        <v>2533</v>
      </c>
    </row>
    <row r="2780" spans="1:19" ht="30" hidden="1" outlineLevel="1">
      <c r="B2780" s="384">
        <v>2026</v>
      </c>
      <c r="C2780" s="384">
        <v>3</v>
      </c>
      <c r="D2780" s="367" t="s">
        <v>5</v>
      </c>
      <c r="E2780" s="367" t="s">
        <v>6</v>
      </c>
      <c r="F2780" s="389" t="s">
        <v>4531</v>
      </c>
      <c r="G2780" s="385">
        <v>45917</v>
      </c>
      <c r="H2780" s="367" t="s">
        <v>9</v>
      </c>
      <c r="I2780" s="368" t="str">
        <f>VLOOKUP(H2780,'Source Codes'!A$2:B$115,2,FALSE)</f>
        <v>On Line Journal Entries</v>
      </c>
      <c r="J2780" s="422">
        <v>3427765</v>
      </c>
      <c r="K2780" s="385">
        <v>45925</v>
      </c>
      <c r="L2780" s="369" t="s">
        <v>344</v>
      </c>
      <c r="M2780" s="390">
        <v>45925.332604166666</v>
      </c>
      <c r="N2780" s="368" t="s">
        <v>356</v>
      </c>
      <c r="O2780" s="368" t="s">
        <v>364</v>
      </c>
      <c r="P2780" s="368" t="str">
        <f t="shared" si="57"/>
        <v>Revenue</v>
      </c>
      <c r="Q2780" s="366" t="s">
        <v>2232</v>
      </c>
      <c r="R2780" s="366" t="s">
        <v>2232</v>
      </c>
      <c r="S2780" s="366" t="s">
        <v>2533</v>
      </c>
    </row>
    <row r="2781" spans="1:19" ht="30" hidden="1" outlineLevel="1">
      <c r="B2781" s="384">
        <v>2026</v>
      </c>
      <c r="C2781" s="384">
        <v>3</v>
      </c>
      <c r="D2781" s="367" t="s">
        <v>5</v>
      </c>
      <c r="E2781" s="367" t="s">
        <v>6</v>
      </c>
      <c r="F2781" s="389" t="s">
        <v>4532</v>
      </c>
      <c r="G2781" s="385">
        <v>45918</v>
      </c>
      <c r="H2781" s="367" t="s">
        <v>9</v>
      </c>
      <c r="I2781" s="368" t="str">
        <f>VLOOKUP(H2781,'Source Codes'!A$2:B$115,2,FALSE)</f>
        <v>On Line Journal Entries</v>
      </c>
      <c r="J2781" s="422">
        <v>1727117</v>
      </c>
      <c r="K2781" s="385">
        <v>45925</v>
      </c>
      <c r="L2781" s="369" t="s">
        <v>344</v>
      </c>
      <c r="M2781" s="390">
        <v>45925.871006944442</v>
      </c>
      <c r="N2781" s="368" t="s">
        <v>356</v>
      </c>
      <c r="O2781" s="368" t="s">
        <v>364</v>
      </c>
      <c r="P2781" s="368" t="str">
        <f t="shared" si="57"/>
        <v>Revenue</v>
      </c>
      <c r="Q2781" s="366" t="s">
        <v>2232</v>
      </c>
      <c r="R2781" s="366" t="s">
        <v>2232</v>
      </c>
      <c r="S2781" s="366" t="s">
        <v>2594</v>
      </c>
    </row>
    <row r="2782" spans="1:19" ht="30" hidden="1" outlineLevel="1">
      <c r="B2782" s="384">
        <v>2026</v>
      </c>
      <c r="C2782" s="384">
        <v>3</v>
      </c>
      <c r="D2782" s="367" t="s">
        <v>5</v>
      </c>
      <c r="E2782" s="367" t="s">
        <v>6</v>
      </c>
      <c r="F2782" s="389" t="s">
        <v>4533</v>
      </c>
      <c r="G2782" s="385">
        <v>45924</v>
      </c>
      <c r="H2782" s="367" t="s">
        <v>337</v>
      </c>
      <c r="I2782" s="368" t="str">
        <f>VLOOKUP(H2782,'Source Codes'!A$2:B$115,2,FALSE)</f>
        <v>Facilities Mngmnt Intfc Jrnls</v>
      </c>
      <c r="J2782" s="422">
        <v>-4569989.82</v>
      </c>
      <c r="K2782" s="385">
        <v>45925</v>
      </c>
      <c r="L2782" s="369" t="s">
        <v>4535</v>
      </c>
      <c r="M2782" s="390">
        <v>45925.518414351849</v>
      </c>
      <c r="N2782" s="368" t="s">
        <v>356</v>
      </c>
      <c r="O2782" s="368" t="s">
        <v>367</v>
      </c>
      <c r="P2782" s="368" t="str">
        <f t="shared" si="57"/>
        <v>Expense</v>
      </c>
      <c r="Q2782" s="366" t="s">
        <v>2237</v>
      </c>
      <c r="R2782" s="366" t="s">
        <v>4540</v>
      </c>
      <c r="S2782" s="366" t="s">
        <v>2239</v>
      </c>
    </row>
    <row r="2783" spans="1:19" ht="15" hidden="1" outlineLevel="1">
      <c r="B2783" s="384">
        <v>2026</v>
      </c>
      <c r="C2783" s="384">
        <v>3</v>
      </c>
      <c r="D2783" s="367" t="s">
        <v>5</v>
      </c>
      <c r="E2783" s="367" t="s">
        <v>6</v>
      </c>
      <c r="F2783" s="389" t="s">
        <v>4534</v>
      </c>
      <c r="G2783" s="385">
        <v>45917</v>
      </c>
      <c r="H2783" s="367" t="s">
        <v>7</v>
      </c>
      <c r="I2783" s="368" t="str">
        <f>VLOOKUP(H2783,'Source Codes'!A$2:B$115,2,FALSE)</f>
        <v>HRMS Interface Journals</v>
      </c>
      <c r="J2783" s="422">
        <v>-74257618.260000005</v>
      </c>
      <c r="K2783" s="385">
        <v>45925</v>
      </c>
      <c r="L2783" s="369" t="s">
        <v>406</v>
      </c>
      <c r="M2783" s="390">
        <v>45925.315717592595</v>
      </c>
      <c r="N2783" s="368" t="s">
        <v>378</v>
      </c>
      <c r="O2783" s="368" t="s">
        <v>371</v>
      </c>
      <c r="P2783" s="368" t="str">
        <f t="shared" si="57"/>
        <v>Expense</v>
      </c>
      <c r="Q2783" s="366" t="s">
        <v>379</v>
      </c>
      <c r="R2783" s="366" t="s">
        <v>4485</v>
      </c>
      <c r="S2783" s="366" t="s">
        <v>203</v>
      </c>
    </row>
    <row r="2784" spans="1:19" ht="12.75" customHeight="1" collapsed="1">
      <c r="I2784" s="368"/>
      <c r="J2784" s="424">
        <f>SUM(J2777:J2783)</f>
        <v>-47196744.310000002</v>
      </c>
      <c r="P2784" s="368"/>
    </row>
    <row r="2785" spans="1:19" ht="12.75" customHeight="1">
      <c r="I2785" s="368"/>
      <c r="P2785" s="368"/>
    </row>
    <row r="2786" spans="1:19" ht="12.75" customHeight="1">
      <c r="A2786" s="378" t="s">
        <v>4543</v>
      </c>
      <c r="I2786" s="368"/>
      <c r="P2786" s="368"/>
    </row>
    <row r="2787" spans="1:19" ht="30" hidden="1" outlineLevel="1">
      <c r="B2787" s="384">
        <v>2026</v>
      </c>
      <c r="C2787" s="384">
        <v>3</v>
      </c>
      <c r="D2787" s="367" t="s">
        <v>5</v>
      </c>
      <c r="E2787" s="367" t="s">
        <v>6</v>
      </c>
      <c r="F2787" s="389" t="s">
        <v>4544</v>
      </c>
      <c r="G2787" s="385">
        <v>45926</v>
      </c>
      <c r="H2787" s="367" t="s">
        <v>14</v>
      </c>
      <c r="I2787" s="368" t="str">
        <f>VLOOKUP(H2787,'Source Codes'!A$2:B$115,2,FALSE)</f>
        <v>AP Warrant Issuance</v>
      </c>
      <c r="J2787" s="422">
        <v>-1142864.33</v>
      </c>
      <c r="K2787" s="385">
        <v>45926</v>
      </c>
      <c r="L2787" s="369" t="s">
        <v>4545</v>
      </c>
      <c r="M2787" s="390">
        <v>45926.763796296298</v>
      </c>
      <c r="N2787" s="368" t="s">
        <v>356</v>
      </c>
      <c r="O2787" s="368" t="s">
        <v>357</v>
      </c>
      <c r="P2787" s="368" t="str">
        <f t="shared" si="57"/>
        <v>Expense</v>
      </c>
      <c r="Q2787" s="366" t="s">
        <v>2309</v>
      </c>
      <c r="R2787" s="366" t="s">
        <v>2310</v>
      </c>
      <c r="S2787" s="366" t="s">
        <v>203</v>
      </c>
    </row>
    <row r="2788" spans="1:19" ht="30" hidden="1" outlineLevel="1">
      <c r="B2788" s="384">
        <v>2026</v>
      </c>
      <c r="C2788" s="384">
        <v>3</v>
      </c>
      <c r="D2788" s="367" t="s">
        <v>5</v>
      </c>
      <c r="E2788" s="367" t="s">
        <v>6</v>
      </c>
      <c r="F2788" s="389" t="s">
        <v>4546</v>
      </c>
      <c r="G2788" s="385">
        <v>45926</v>
      </c>
      <c r="H2788" s="367" t="s">
        <v>12</v>
      </c>
      <c r="I2788" s="368" t="str">
        <f>VLOOKUP(H2788,'Source Codes'!A$2:B$115,2,FALSE)</f>
        <v>AR Direct Cash Journal</v>
      </c>
      <c r="J2788" s="422">
        <v>1236520.8</v>
      </c>
      <c r="K2788" s="385">
        <v>45926</v>
      </c>
      <c r="L2788" s="369" t="s">
        <v>4549</v>
      </c>
      <c r="M2788" s="390">
        <v>45926.752175925925</v>
      </c>
      <c r="N2788" s="368" t="s">
        <v>356</v>
      </c>
      <c r="O2788" s="368" t="s">
        <v>362</v>
      </c>
      <c r="P2788" s="368" t="str">
        <f t="shared" si="57"/>
        <v>Revenue</v>
      </c>
      <c r="Q2788" s="366" t="s">
        <v>2360</v>
      </c>
      <c r="R2788" s="366" t="s">
        <v>2715</v>
      </c>
      <c r="S2788" s="366" t="s">
        <v>203</v>
      </c>
    </row>
    <row r="2789" spans="1:19" ht="30" hidden="1" outlineLevel="1">
      <c r="B2789" s="384">
        <v>2026</v>
      </c>
      <c r="C2789" s="384">
        <v>3</v>
      </c>
      <c r="D2789" s="367" t="s">
        <v>5</v>
      </c>
      <c r="E2789" s="367" t="s">
        <v>6</v>
      </c>
      <c r="F2789" s="389" t="s">
        <v>4547</v>
      </c>
      <c r="G2789" s="385">
        <v>45923</v>
      </c>
      <c r="H2789" s="367" t="s">
        <v>12</v>
      </c>
      <c r="I2789" s="368" t="str">
        <f>VLOOKUP(H2789,'Source Codes'!A$2:B$115,2,FALSE)</f>
        <v>AR Direct Cash Journal</v>
      </c>
      <c r="J2789" s="422">
        <v>1676850.54</v>
      </c>
      <c r="K2789" s="385">
        <v>45926</v>
      </c>
      <c r="L2789" s="369" t="s">
        <v>4550</v>
      </c>
      <c r="M2789" s="390">
        <v>45926.752175925925</v>
      </c>
      <c r="N2789" s="368" t="s">
        <v>361</v>
      </c>
      <c r="O2789" s="368" t="s">
        <v>370</v>
      </c>
      <c r="P2789" s="368" t="str">
        <f t="shared" si="57"/>
        <v>Revenue</v>
      </c>
      <c r="Q2789" s="366" t="s">
        <v>2264</v>
      </c>
      <c r="R2789" s="366" t="s">
        <v>4497</v>
      </c>
      <c r="S2789" s="366" t="s">
        <v>4551</v>
      </c>
    </row>
    <row r="2790" spans="1:19" ht="30" hidden="1" outlineLevel="1">
      <c r="B2790" s="384">
        <v>2026</v>
      </c>
      <c r="C2790" s="384">
        <v>3</v>
      </c>
      <c r="D2790" s="367" t="s">
        <v>5</v>
      </c>
      <c r="E2790" s="367" t="s">
        <v>6</v>
      </c>
      <c r="F2790" s="389" t="s">
        <v>4548</v>
      </c>
      <c r="G2790" s="385">
        <v>45925</v>
      </c>
      <c r="H2790" s="367" t="s">
        <v>12</v>
      </c>
      <c r="I2790" s="368" t="str">
        <f>VLOOKUP(H2790,'Source Codes'!A$2:B$115,2,FALSE)</f>
        <v>AR Direct Cash Journal</v>
      </c>
      <c r="J2790" s="422">
        <v>6682763.5</v>
      </c>
      <c r="K2790" s="385">
        <v>45926</v>
      </c>
      <c r="L2790" s="369" t="s">
        <v>4553</v>
      </c>
      <c r="M2790" s="390">
        <v>45926.752175925925</v>
      </c>
      <c r="N2790" s="368" t="s">
        <v>361</v>
      </c>
      <c r="O2790" s="368" t="s">
        <v>370</v>
      </c>
      <c r="P2790" s="368" t="str">
        <f t="shared" si="57"/>
        <v>Revenue</v>
      </c>
      <c r="Q2790" s="366" t="s">
        <v>2264</v>
      </c>
      <c r="R2790" s="366" t="s">
        <v>4497</v>
      </c>
      <c r="S2790" s="366" t="s">
        <v>4552</v>
      </c>
    </row>
    <row r="2791" spans="1:19" ht="12.75" customHeight="1" collapsed="1">
      <c r="I2791" s="368"/>
      <c r="J2791" s="424">
        <f>SUM(J2787:J2790)</f>
        <v>8453270.5099999998</v>
      </c>
      <c r="P2791" s="368"/>
    </row>
    <row r="2792" spans="1:19" ht="12.75" customHeight="1">
      <c r="I2792" s="368"/>
      <c r="P2792" s="368"/>
    </row>
    <row r="2793" spans="1:19" ht="12.75" customHeight="1">
      <c r="A2793" s="378" t="s">
        <v>4554</v>
      </c>
      <c r="I2793" s="368"/>
      <c r="P2793" s="368"/>
    </row>
    <row r="2794" spans="1:19" ht="30" hidden="1" outlineLevel="1">
      <c r="B2794" s="384">
        <v>2026</v>
      </c>
      <c r="C2794" s="384">
        <v>3</v>
      </c>
      <c r="D2794" s="367" t="s">
        <v>5</v>
      </c>
      <c r="E2794" s="367" t="s">
        <v>6</v>
      </c>
      <c r="F2794" s="389" t="s">
        <v>4555</v>
      </c>
      <c r="G2794" s="385">
        <v>45926</v>
      </c>
      <c r="H2794" s="367" t="s">
        <v>12</v>
      </c>
      <c r="I2794" s="368" t="str">
        <f>VLOOKUP(H2794,'Source Codes'!A$2:B$115,2,FALSE)</f>
        <v>AR Direct Cash Journal</v>
      </c>
      <c r="J2794" s="422">
        <v>2687551.52</v>
      </c>
      <c r="K2794" s="385">
        <v>45929</v>
      </c>
      <c r="L2794" s="369" t="s">
        <v>4556</v>
      </c>
      <c r="M2794" s="390">
        <v>45929.752210648148</v>
      </c>
      <c r="N2794" s="368" t="s">
        <v>356</v>
      </c>
      <c r="O2794" s="368" t="s">
        <v>371</v>
      </c>
      <c r="P2794" s="368" t="str">
        <f t="shared" si="57"/>
        <v>Revenue</v>
      </c>
      <c r="Q2794" s="366" t="s">
        <v>2346</v>
      </c>
      <c r="R2794" s="366" t="s">
        <v>4557</v>
      </c>
      <c r="S2794" s="366">
        <v>750250</v>
      </c>
    </row>
    <row r="2795" spans="1:19" ht="30" hidden="1" outlineLevel="1">
      <c r="B2795" s="384">
        <v>2026</v>
      </c>
      <c r="C2795" s="384">
        <v>3</v>
      </c>
      <c r="D2795" s="367" t="s">
        <v>5</v>
      </c>
      <c r="E2795" s="367" t="s">
        <v>6</v>
      </c>
      <c r="F2795" s="389" t="s">
        <v>4558</v>
      </c>
      <c r="G2795" s="385">
        <v>45918</v>
      </c>
      <c r="H2795" s="367" t="s">
        <v>9</v>
      </c>
      <c r="I2795" s="368" t="str">
        <f>VLOOKUP(H2795,'Source Codes'!A$2:B$115,2,FALSE)</f>
        <v>On Line Journal Entries</v>
      </c>
      <c r="J2795" s="422">
        <v>8622318</v>
      </c>
      <c r="K2795" s="385">
        <v>45929</v>
      </c>
      <c r="L2795" s="369" t="s">
        <v>344</v>
      </c>
      <c r="M2795" s="390">
        <v>45929.40253472222</v>
      </c>
      <c r="N2795" s="368" t="s">
        <v>356</v>
      </c>
      <c r="O2795" s="368" t="s">
        <v>364</v>
      </c>
      <c r="P2795" s="368" t="str">
        <f t="shared" si="57"/>
        <v>Revenue</v>
      </c>
      <c r="Q2795" s="366" t="s">
        <v>2232</v>
      </c>
      <c r="R2795" s="366" t="s">
        <v>2232</v>
      </c>
      <c r="S2795" s="366" t="s">
        <v>2533</v>
      </c>
    </row>
    <row r="2796" spans="1:19" ht="15" hidden="1" outlineLevel="1">
      <c r="B2796" s="384">
        <v>2026</v>
      </c>
      <c r="C2796" s="384">
        <v>3</v>
      </c>
      <c r="D2796" s="367" t="s">
        <v>5</v>
      </c>
      <c r="E2796" s="367" t="s">
        <v>6</v>
      </c>
      <c r="F2796" s="389" t="s">
        <v>4559</v>
      </c>
      <c r="G2796" s="385">
        <v>45922</v>
      </c>
      <c r="H2796" s="367" t="s">
        <v>9</v>
      </c>
      <c r="I2796" s="368" t="str">
        <f>VLOOKUP(H2796,'Source Codes'!A$2:B$115,2,FALSE)</f>
        <v>On Line Journal Entries</v>
      </c>
      <c r="J2796" s="422">
        <v>-1542083</v>
      </c>
      <c r="K2796" s="385">
        <v>45929</v>
      </c>
      <c r="L2796" s="369" t="s">
        <v>4560</v>
      </c>
      <c r="M2796" s="390">
        <v>45929.869837962964</v>
      </c>
      <c r="N2796" s="368" t="s">
        <v>356</v>
      </c>
      <c r="O2796" s="368" t="s">
        <v>368</v>
      </c>
      <c r="P2796" s="368" t="str">
        <f t="shared" si="57"/>
        <v>Expense</v>
      </c>
      <c r="Q2796" s="366" t="s">
        <v>2219</v>
      </c>
      <c r="R2796" s="366" t="s">
        <v>4561</v>
      </c>
      <c r="S2796" s="366">
        <v>530280</v>
      </c>
    </row>
    <row r="2797" spans="1:19" ht="12.75" customHeight="1" collapsed="1">
      <c r="I2797" s="368"/>
      <c r="J2797" s="424">
        <f>SUM(J2794:J2796)</f>
        <v>9767786.5199999996</v>
      </c>
      <c r="P2797" s="368"/>
    </row>
    <row r="2798" spans="1:19" ht="12.75" customHeight="1">
      <c r="I2798" s="368"/>
      <c r="J2798" s="425"/>
      <c r="P2798" s="368"/>
    </row>
    <row r="2799" spans="1:19" ht="12.75" customHeight="1">
      <c r="A2799" s="378" t="s">
        <v>4562</v>
      </c>
      <c r="I2799" s="368"/>
      <c r="P2799" s="368"/>
    </row>
    <row r="2800" spans="1:19" ht="45" hidden="1" outlineLevel="1">
      <c r="B2800" s="384">
        <v>2026</v>
      </c>
      <c r="C2800" s="384">
        <v>3</v>
      </c>
      <c r="D2800" s="367" t="s">
        <v>5</v>
      </c>
      <c r="E2800" s="367" t="s">
        <v>6</v>
      </c>
      <c r="F2800" s="389" t="s">
        <v>4563</v>
      </c>
      <c r="G2800" s="385">
        <v>45924</v>
      </c>
      <c r="H2800" s="367" t="s">
        <v>12</v>
      </c>
      <c r="I2800" s="368" t="str">
        <f>VLOOKUP(H2800,'Source Codes'!A$2:B$115,2,FALSE)</f>
        <v>AR Direct Cash Journal</v>
      </c>
      <c r="J2800" s="422">
        <v>1397514.98</v>
      </c>
      <c r="K2800" s="385">
        <v>45930</v>
      </c>
      <c r="L2800" s="369" t="s">
        <v>4568</v>
      </c>
      <c r="M2800" s="390">
        <v>45930.752384259256</v>
      </c>
      <c r="N2800" s="368" t="s">
        <v>361</v>
      </c>
      <c r="O2800" s="368" t="s">
        <v>370</v>
      </c>
      <c r="P2800" s="368" t="str">
        <f t="shared" si="57"/>
        <v>Revenue</v>
      </c>
      <c r="Q2800" s="366" t="s">
        <v>2264</v>
      </c>
      <c r="R2800" s="366" t="s">
        <v>4497</v>
      </c>
      <c r="S2800" s="366">
        <v>779200</v>
      </c>
    </row>
    <row r="2801" spans="1:19" ht="30" hidden="1" outlineLevel="1">
      <c r="B2801" s="384">
        <v>2026</v>
      </c>
      <c r="C2801" s="384">
        <v>3</v>
      </c>
      <c r="D2801" s="367" t="s">
        <v>5</v>
      </c>
      <c r="E2801" s="367" t="s">
        <v>6</v>
      </c>
      <c r="F2801" s="389" t="s">
        <v>4564</v>
      </c>
      <c r="G2801" s="385">
        <v>45925</v>
      </c>
      <c r="H2801" s="367" t="s">
        <v>12</v>
      </c>
      <c r="I2801" s="368" t="str">
        <f>VLOOKUP(H2801,'Source Codes'!A$2:B$115,2,FALSE)</f>
        <v>AR Direct Cash Journal</v>
      </c>
      <c r="J2801" s="422">
        <v>2741189.24</v>
      </c>
      <c r="K2801" s="385">
        <v>45930</v>
      </c>
      <c r="L2801" s="369" t="s">
        <v>4580</v>
      </c>
      <c r="M2801" s="390">
        <v>45930.752384259256</v>
      </c>
      <c r="N2801" s="368" t="s">
        <v>356</v>
      </c>
      <c r="O2801" s="368" t="s">
        <v>368</v>
      </c>
      <c r="P2801" s="368" t="str">
        <f t="shared" si="57"/>
        <v>Revenue</v>
      </c>
      <c r="Q2801" s="366" t="s">
        <v>2177</v>
      </c>
      <c r="R2801" s="366" t="s">
        <v>2214</v>
      </c>
      <c r="S2801" s="366" t="s">
        <v>4567</v>
      </c>
    </row>
    <row r="2802" spans="1:19" ht="45" hidden="1" outlineLevel="1">
      <c r="B2802" s="384">
        <v>2026</v>
      </c>
      <c r="C2802" s="384">
        <v>3</v>
      </c>
      <c r="D2802" s="367" t="s">
        <v>5</v>
      </c>
      <c r="E2802" s="367" t="s">
        <v>6</v>
      </c>
      <c r="F2802" s="389" t="s">
        <v>4565</v>
      </c>
      <c r="G2802" s="385">
        <v>45925</v>
      </c>
      <c r="H2802" s="367" t="s">
        <v>12</v>
      </c>
      <c r="I2802" s="368" t="str">
        <f>VLOOKUP(H2802,'Source Codes'!A$2:B$115,2,FALSE)</f>
        <v>AR Direct Cash Journal</v>
      </c>
      <c r="J2802" s="422">
        <v>2970178.82</v>
      </c>
      <c r="K2802" s="385">
        <v>45930</v>
      </c>
      <c r="L2802" s="369" t="s">
        <v>4581</v>
      </c>
      <c r="M2802" s="390">
        <v>45930.752384259256</v>
      </c>
      <c r="N2802" s="368" t="s">
        <v>361</v>
      </c>
      <c r="O2802" s="368" t="s">
        <v>370</v>
      </c>
      <c r="P2802" s="368" t="str">
        <f t="shared" si="57"/>
        <v>Revenue</v>
      </c>
      <c r="Q2802" s="366" t="s">
        <v>2264</v>
      </c>
      <c r="R2802" s="366" t="s">
        <v>4497</v>
      </c>
      <c r="S2802" s="366" t="s">
        <v>203</v>
      </c>
    </row>
    <row r="2803" spans="1:19" ht="45" hidden="1" outlineLevel="1">
      <c r="B2803" s="384">
        <v>2026</v>
      </c>
      <c r="C2803" s="384">
        <v>3</v>
      </c>
      <c r="D2803" s="367" t="s">
        <v>5</v>
      </c>
      <c r="E2803" s="367" t="s">
        <v>6</v>
      </c>
      <c r="F2803" s="389" t="s">
        <v>4566</v>
      </c>
      <c r="G2803" s="385">
        <v>45926</v>
      </c>
      <c r="H2803" s="367" t="s">
        <v>12</v>
      </c>
      <c r="I2803" s="368" t="str">
        <f>VLOOKUP(H2803,'Source Codes'!A$2:B$115,2,FALSE)</f>
        <v>AR Direct Cash Journal</v>
      </c>
      <c r="J2803" s="422">
        <v>13379769.26</v>
      </c>
      <c r="K2803" s="385">
        <v>45930</v>
      </c>
      <c r="L2803" s="369" t="s">
        <v>4582</v>
      </c>
      <c r="M2803" s="390">
        <v>45930.752384259256</v>
      </c>
      <c r="N2803" s="368" t="s">
        <v>356</v>
      </c>
      <c r="O2803" s="368" t="s">
        <v>368</v>
      </c>
      <c r="P2803" s="368" t="str">
        <f t="shared" si="57"/>
        <v>Revenue</v>
      </c>
      <c r="Q2803" s="366" t="s">
        <v>2177</v>
      </c>
      <c r="R2803" s="366" t="s">
        <v>2214</v>
      </c>
      <c r="S2803" s="366" t="s">
        <v>4377</v>
      </c>
    </row>
    <row r="2804" spans="1:19" ht="15" hidden="1" outlineLevel="1">
      <c r="B2804" s="384">
        <v>2026</v>
      </c>
      <c r="C2804" s="384">
        <v>3</v>
      </c>
      <c r="D2804" s="367" t="s">
        <v>5</v>
      </c>
      <c r="E2804" s="367" t="s">
        <v>6</v>
      </c>
      <c r="F2804" s="389" t="s">
        <v>4569</v>
      </c>
      <c r="G2804" s="385">
        <v>45930</v>
      </c>
      <c r="H2804" s="367" t="s">
        <v>110</v>
      </c>
      <c r="I2804" s="368" t="str">
        <f>VLOOKUP(H2804,'Source Codes'!A$2:B$115,2,FALSE)</f>
        <v>Treasurers Interest Apportion</v>
      </c>
      <c r="J2804" s="422">
        <v>22931641.109999999</v>
      </c>
      <c r="K2804" s="385">
        <v>45930</v>
      </c>
      <c r="L2804" s="369" t="s">
        <v>4574</v>
      </c>
      <c r="M2804" s="390">
        <v>45930.463194444441</v>
      </c>
      <c r="N2804" s="368" t="s">
        <v>361</v>
      </c>
      <c r="O2804" s="368" t="s">
        <v>371</v>
      </c>
      <c r="P2804" s="368" t="str">
        <f t="shared" si="57"/>
        <v>Revenue</v>
      </c>
      <c r="Q2804" s="366" t="s">
        <v>2363</v>
      </c>
      <c r="R2804" s="366" t="s">
        <v>4577</v>
      </c>
      <c r="S2804" s="366">
        <v>740020</v>
      </c>
    </row>
    <row r="2805" spans="1:19" ht="15" hidden="1" outlineLevel="1">
      <c r="B2805" s="384">
        <v>2026</v>
      </c>
      <c r="C2805" s="384">
        <v>3</v>
      </c>
      <c r="D2805" s="367" t="s">
        <v>5</v>
      </c>
      <c r="E2805" s="367" t="s">
        <v>6</v>
      </c>
      <c r="F2805" s="389" t="s">
        <v>4570</v>
      </c>
      <c r="G2805" s="385">
        <v>45930</v>
      </c>
      <c r="H2805" s="367" t="s">
        <v>9</v>
      </c>
      <c r="I2805" s="368" t="str">
        <f>VLOOKUP(H2805,'Source Codes'!A$2:B$115,2,FALSE)</f>
        <v>On Line Journal Entries</v>
      </c>
      <c r="J2805" s="422">
        <v>8384680.4500000002</v>
      </c>
      <c r="K2805" s="385">
        <v>45930</v>
      </c>
      <c r="L2805" s="369" t="s">
        <v>4575</v>
      </c>
      <c r="M2805" s="390">
        <v>45930.681574074071</v>
      </c>
      <c r="N2805" s="368" t="s">
        <v>361</v>
      </c>
      <c r="O2805" s="368" t="s">
        <v>368</v>
      </c>
      <c r="P2805" s="368" t="str">
        <f t="shared" si="57"/>
        <v>Revenue</v>
      </c>
      <c r="Q2805" s="366" t="s">
        <v>2657</v>
      </c>
      <c r="R2805" s="366" t="s">
        <v>4189</v>
      </c>
      <c r="S2805" s="366">
        <v>755926</v>
      </c>
    </row>
    <row r="2806" spans="1:19" ht="30" hidden="1" outlineLevel="1">
      <c r="B2806" s="384">
        <v>2026</v>
      </c>
      <c r="C2806" s="384">
        <v>3</v>
      </c>
      <c r="D2806" s="367" t="s">
        <v>5</v>
      </c>
      <c r="E2806" s="367" t="s">
        <v>6</v>
      </c>
      <c r="F2806" s="389" t="s">
        <v>4571</v>
      </c>
      <c r="G2806" s="385">
        <v>45917</v>
      </c>
      <c r="H2806" s="367" t="s">
        <v>9</v>
      </c>
      <c r="I2806" s="368" t="str">
        <f>VLOOKUP(H2806,'Source Codes'!A$2:B$115,2,FALSE)</f>
        <v>On Line Journal Entries</v>
      </c>
      <c r="J2806" s="422">
        <v>8208860</v>
      </c>
      <c r="K2806" s="385">
        <v>45930</v>
      </c>
      <c r="L2806" s="369" t="s">
        <v>344</v>
      </c>
      <c r="M2806" s="390">
        <v>45930.340925925928</v>
      </c>
      <c r="N2806" s="368" t="s">
        <v>356</v>
      </c>
      <c r="O2806" s="368" t="s">
        <v>364</v>
      </c>
      <c r="P2806" s="368" t="str">
        <f t="shared" si="57"/>
        <v>Revenue</v>
      </c>
      <c r="Q2806" s="366" t="s">
        <v>2232</v>
      </c>
      <c r="R2806" s="366" t="s">
        <v>2232</v>
      </c>
      <c r="S2806" s="366" t="s">
        <v>2533</v>
      </c>
    </row>
    <row r="2807" spans="1:19" ht="30" hidden="1" outlineLevel="1">
      <c r="B2807" s="384">
        <v>2026</v>
      </c>
      <c r="C2807" s="384">
        <v>3</v>
      </c>
      <c r="D2807" s="367" t="s">
        <v>5</v>
      </c>
      <c r="E2807" s="367" t="s">
        <v>6</v>
      </c>
      <c r="F2807" s="389" t="s">
        <v>4572</v>
      </c>
      <c r="G2807" s="385">
        <v>45918</v>
      </c>
      <c r="H2807" s="367" t="s">
        <v>9</v>
      </c>
      <c r="I2807" s="368" t="str">
        <f>VLOOKUP(H2807,'Source Codes'!A$2:B$115,2,FALSE)</f>
        <v>On Line Journal Entries</v>
      </c>
      <c r="J2807" s="422">
        <v>3488798</v>
      </c>
      <c r="K2807" s="385">
        <v>45930</v>
      </c>
      <c r="L2807" s="369" t="s">
        <v>344</v>
      </c>
      <c r="M2807" s="390">
        <v>45930.316388888888</v>
      </c>
      <c r="N2807" s="368" t="s">
        <v>356</v>
      </c>
      <c r="O2807" s="368" t="s">
        <v>364</v>
      </c>
      <c r="P2807" s="368" t="str">
        <f t="shared" si="57"/>
        <v>Revenue</v>
      </c>
      <c r="Q2807" s="366" t="s">
        <v>2232</v>
      </c>
      <c r="R2807" s="366" t="s">
        <v>2232</v>
      </c>
      <c r="S2807" s="366" t="s">
        <v>2533</v>
      </c>
    </row>
    <row r="2808" spans="1:19" ht="30" hidden="1" outlineLevel="1">
      <c r="B2808" s="384">
        <v>2026</v>
      </c>
      <c r="C2808" s="384">
        <v>3</v>
      </c>
      <c r="D2808" s="367" t="s">
        <v>5</v>
      </c>
      <c r="E2808" s="367" t="s">
        <v>6</v>
      </c>
      <c r="F2808" s="389" t="s">
        <v>4573</v>
      </c>
      <c r="G2808" s="385">
        <v>45917</v>
      </c>
      <c r="H2808" s="367" t="s">
        <v>9</v>
      </c>
      <c r="I2808" s="368" t="str">
        <f>VLOOKUP(H2808,'Source Codes'!A$2:B$115,2,FALSE)</f>
        <v>On Line Journal Entries</v>
      </c>
      <c r="J2808" s="422">
        <v>2099771</v>
      </c>
      <c r="K2808" s="385">
        <v>45930</v>
      </c>
      <c r="L2808" s="369" t="s">
        <v>4576</v>
      </c>
      <c r="M2808" s="390">
        <v>45930.39508101852</v>
      </c>
      <c r="N2808" s="368" t="s">
        <v>361</v>
      </c>
      <c r="O2808" s="368" t="s">
        <v>380</v>
      </c>
      <c r="P2808" s="368" t="str">
        <f t="shared" si="57"/>
        <v>Revenue</v>
      </c>
      <c r="Q2808" s="366" t="s">
        <v>3075</v>
      </c>
      <c r="R2808" s="366" t="s">
        <v>4578</v>
      </c>
      <c r="S2808" s="366">
        <v>777470</v>
      </c>
    </row>
    <row r="2809" spans="1:19" ht="12.75" customHeight="1" collapsed="1">
      <c r="J2809" s="424">
        <f>SUM(J2800:J2808)</f>
        <v>65602402.859999999</v>
      </c>
    </row>
    <row r="2811" spans="1:19" ht="12.75" customHeight="1">
      <c r="A2811" s="378" t="s">
        <v>4583</v>
      </c>
    </row>
    <row r="2812" spans="1:19" ht="30" hidden="1" outlineLevel="1">
      <c r="B2812" s="384">
        <v>2026</v>
      </c>
      <c r="C2812" s="384">
        <v>4</v>
      </c>
      <c r="D2812" s="367" t="s">
        <v>5</v>
      </c>
      <c r="E2812" s="367" t="s">
        <v>6</v>
      </c>
      <c r="F2812" s="389" t="s">
        <v>4584</v>
      </c>
      <c r="G2812" s="385">
        <v>45933</v>
      </c>
      <c r="H2812" s="367" t="s">
        <v>14</v>
      </c>
      <c r="I2812" s="368" t="str">
        <f>VLOOKUP(H2812,'Source Codes'!A$2:B$115,2,FALSE)</f>
        <v>AP Warrant Issuance</v>
      </c>
      <c r="J2812" s="422">
        <v>-2546212.0099999998</v>
      </c>
      <c r="K2812" s="385">
        <v>45931</v>
      </c>
      <c r="L2812" s="369" t="s">
        <v>4604</v>
      </c>
      <c r="M2812" s="390">
        <v>45931.758506944447</v>
      </c>
      <c r="N2812" s="368" t="s">
        <v>356</v>
      </c>
      <c r="O2812" s="368" t="s">
        <v>368</v>
      </c>
      <c r="P2812" s="368" t="str">
        <f t="shared" ref="P2812:P2830" si="58">IF(J2812&gt;0,"Revenue",IF(J2812&lt;0,"Expense"))</f>
        <v>Expense</v>
      </c>
      <c r="Q2812" s="366" t="s">
        <v>2154</v>
      </c>
      <c r="R2812" s="366" t="s">
        <v>2154</v>
      </c>
      <c r="S2812" s="366" t="s">
        <v>203</v>
      </c>
    </row>
    <row r="2813" spans="1:19" ht="30" hidden="1" outlineLevel="1">
      <c r="B2813" s="384">
        <v>2026</v>
      </c>
      <c r="C2813" s="384">
        <v>3</v>
      </c>
      <c r="D2813" s="367" t="s">
        <v>5</v>
      </c>
      <c r="E2813" s="367" t="s">
        <v>6</v>
      </c>
      <c r="F2813" s="389" t="s">
        <v>4585</v>
      </c>
      <c r="G2813" s="385">
        <v>45911</v>
      </c>
      <c r="H2813" s="367" t="s">
        <v>12</v>
      </c>
      <c r="I2813" s="368" t="str">
        <f>VLOOKUP(H2813,'Source Codes'!A$2:B$115,2,FALSE)</f>
        <v>AR Direct Cash Journal</v>
      </c>
      <c r="J2813" s="422">
        <v>8569350.2200000007</v>
      </c>
      <c r="K2813" s="385">
        <v>45931</v>
      </c>
      <c r="L2813" s="369" t="s">
        <v>4605</v>
      </c>
      <c r="M2813" s="390">
        <v>45931.752488425926</v>
      </c>
      <c r="N2813" s="368" t="s">
        <v>2185</v>
      </c>
      <c r="O2813" s="368" t="s">
        <v>385</v>
      </c>
      <c r="P2813" s="368" t="str">
        <f t="shared" si="58"/>
        <v>Revenue</v>
      </c>
      <c r="Q2813" s="366" t="s">
        <v>2757</v>
      </c>
      <c r="R2813" s="366" t="s">
        <v>2715</v>
      </c>
      <c r="S2813" s="366">
        <v>112632</v>
      </c>
    </row>
    <row r="2814" spans="1:19" ht="45" hidden="1" outlineLevel="1">
      <c r="B2814" s="384">
        <v>2026</v>
      </c>
      <c r="C2814" s="384">
        <v>3</v>
      </c>
      <c r="D2814" s="367" t="s">
        <v>5</v>
      </c>
      <c r="E2814" s="367" t="s">
        <v>6</v>
      </c>
      <c r="F2814" s="389" t="s">
        <v>4586</v>
      </c>
      <c r="G2814" s="385">
        <v>45926</v>
      </c>
      <c r="H2814" s="367" t="s">
        <v>12</v>
      </c>
      <c r="I2814" s="368" t="str">
        <f>VLOOKUP(H2814,'Source Codes'!A$2:B$115,2,FALSE)</f>
        <v>AR Direct Cash Journal</v>
      </c>
      <c r="J2814" s="422">
        <v>16329709</v>
      </c>
      <c r="K2814" s="385">
        <v>45931</v>
      </c>
      <c r="L2814" s="369" t="s">
        <v>4606</v>
      </c>
      <c r="M2814" s="390">
        <v>45931.752488425926</v>
      </c>
      <c r="N2814" s="368" t="s">
        <v>2185</v>
      </c>
      <c r="O2814" s="368" t="s">
        <v>375</v>
      </c>
      <c r="P2814" s="368" t="str">
        <f t="shared" si="58"/>
        <v>Revenue</v>
      </c>
      <c r="Q2814" s="366" t="s">
        <v>3462</v>
      </c>
      <c r="R2814" s="366" t="s">
        <v>3462</v>
      </c>
      <c r="S2814" s="366">
        <v>755320</v>
      </c>
    </row>
    <row r="2815" spans="1:19" ht="30" hidden="1" outlineLevel="1">
      <c r="B2815" s="384">
        <v>2026</v>
      </c>
      <c r="C2815" s="384">
        <v>3</v>
      </c>
      <c r="D2815" s="367" t="s">
        <v>5</v>
      </c>
      <c r="E2815" s="367" t="s">
        <v>6</v>
      </c>
      <c r="F2815" s="389" t="s">
        <v>4587</v>
      </c>
      <c r="G2815" s="385">
        <v>45924</v>
      </c>
      <c r="H2815" s="367" t="s">
        <v>9</v>
      </c>
      <c r="I2815" s="368" t="str">
        <f>VLOOKUP(H2815,'Source Codes'!A$2:B$115,2,FALSE)</f>
        <v>On Line Journal Entries</v>
      </c>
      <c r="J2815" s="422">
        <v>31649551</v>
      </c>
      <c r="K2815" s="385">
        <v>45931</v>
      </c>
      <c r="L2815" s="369" t="s">
        <v>10</v>
      </c>
      <c r="M2815" s="390">
        <v>45931.409282407411</v>
      </c>
      <c r="N2815" s="368" t="s">
        <v>356</v>
      </c>
      <c r="O2815" s="368" t="s">
        <v>364</v>
      </c>
      <c r="P2815" s="368" t="str">
        <f t="shared" si="58"/>
        <v>Revenue</v>
      </c>
      <c r="Q2815" s="366" t="s">
        <v>2232</v>
      </c>
      <c r="R2815" s="366" t="s">
        <v>2232</v>
      </c>
      <c r="S2815" s="366">
        <v>230141</v>
      </c>
    </row>
    <row r="2816" spans="1:19" ht="30" hidden="1" outlineLevel="1">
      <c r="B2816" s="384">
        <v>2026</v>
      </c>
      <c r="C2816" s="384">
        <v>3</v>
      </c>
      <c r="D2816" s="367" t="s">
        <v>5</v>
      </c>
      <c r="E2816" s="367" t="s">
        <v>6</v>
      </c>
      <c r="F2816" s="389" t="s">
        <v>4588</v>
      </c>
      <c r="G2816" s="385">
        <v>45925</v>
      </c>
      <c r="H2816" s="367" t="s">
        <v>9</v>
      </c>
      <c r="I2816" s="368" t="str">
        <f>VLOOKUP(H2816,'Source Codes'!A$2:B$115,2,FALSE)</f>
        <v>On Line Journal Entries</v>
      </c>
      <c r="J2816" s="422">
        <v>23020334.309999999</v>
      </c>
      <c r="K2816" s="385">
        <v>45931</v>
      </c>
      <c r="L2816" s="369" t="s">
        <v>4596</v>
      </c>
      <c r="M2816" s="390">
        <v>45931.870682870373</v>
      </c>
      <c r="N2816" s="368" t="s">
        <v>356</v>
      </c>
      <c r="O2816" s="368" t="s">
        <v>371</v>
      </c>
      <c r="P2816" s="368" t="str">
        <f t="shared" si="58"/>
        <v>Revenue</v>
      </c>
      <c r="Q2816" s="366" t="s">
        <v>2158</v>
      </c>
      <c r="R2816" s="366" t="s">
        <v>4607</v>
      </c>
      <c r="S2816" s="366">
        <v>755120</v>
      </c>
    </row>
    <row r="2817" spans="1:19" ht="45" hidden="1" outlineLevel="1">
      <c r="B2817" s="384">
        <v>2026</v>
      </c>
      <c r="C2817" s="384">
        <v>3</v>
      </c>
      <c r="D2817" s="367" t="s">
        <v>5</v>
      </c>
      <c r="E2817" s="367" t="s">
        <v>6</v>
      </c>
      <c r="F2817" s="389" t="s">
        <v>4589</v>
      </c>
      <c r="G2817" s="385">
        <v>45926</v>
      </c>
      <c r="H2817" s="367" t="s">
        <v>9</v>
      </c>
      <c r="I2817" s="368" t="str">
        <f>VLOOKUP(H2817,'Source Codes'!A$2:B$115,2,FALSE)</f>
        <v>On Line Journal Entries</v>
      </c>
      <c r="J2817" s="422">
        <v>11055281.66</v>
      </c>
      <c r="K2817" s="385">
        <v>45931</v>
      </c>
      <c r="L2817" s="369" t="s">
        <v>4597</v>
      </c>
      <c r="M2817" s="390">
        <v>45931.870682870373</v>
      </c>
      <c r="N2817" s="368" t="s">
        <v>356</v>
      </c>
      <c r="O2817" s="368" t="s">
        <v>371</v>
      </c>
      <c r="P2817" s="368" t="str">
        <f t="shared" si="58"/>
        <v>Revenue</v>
      </c>
      <c r="Q2817" s="366" t="s">
        <v>2427</v>
      </c>
      <c r="R2817" s="366" t="s">
        <v>4608</v>
      </c>
      <c r="S2817" s="366" t="s">
        <v>2160</v>
      </c>
    </row>
    <row r="2818" spans="1:19" ht="60" hidden="1" outlineLevel="1">
      <c r="B2818" s="384">
        <v>2026</v>
      </c>
      <c r="C2818" s="384">
        <v>3</v>
      </c>
      <c r="D2818" s="367" t="s">
        <v>5</v>
      </c>
      <c r="E2818" s="367" t="s">
        <v>6</v>
      </c>
      <c r="F2818" s="389" t="s">
        <v>4590</v>
      </c>
      <c r="G2818" s="385">
        <v>45926</v>
      </c>
      <c r="H2818" s="367" t="s">
        <v>9</v>
      </c>
      <c r="I2818" s="368" t="str">
        <f>VLOOKUP(H2818,'Source Codes'!A$2:B$115,2,FALSE)</f>
        <v>On Line Journal Entries</v>
      </c>
      <c r="J2818" s="422">
        <v>3348859.09</v>
      </c>
      <c r="K2818" s="385">
        <v>45931</v>
      </c>
      <c r="L2818" s="369" t="s">
        <v>4598</v>
      </c>
      <c r="M2818" s="390">
        <v>45931.870682870373</v>
      </c>
      <c r="N2818" s="368" t="s">
        <v>356</v>
      </c>
      <c r="O2818" s="368" t="s">
        <v>371</v>
      </c>
      <c r="P2818" s="368" t="str">
        <f t="shared" si="58"/>
        <v>Revenue</v>
      </c>
      <c r="Q2818" s="366" t="s">
        <v>3577</v>
      </c>
      <c r="R2818" s="366" t="s">
        <v>4609</v>
      </c>
      <c r="S2818" s="366">
        <v>750900</v>
      </c>
    </row>
    <row r="2819" spans="1:19" ht="60" hidden="1" outlineLevel="1">
      <c r="B2819" s="384">
        <v>2026</v>
      </c>
      <c r="C2819" s="384">
        <v>3</v>
      </c>
      <c r="D2819" s="367" t="s">
        <v>5</v>
      </c>
      <c r="E2819" s="367" t="s">
        <v>6</v>
      </c>
      <c r="F2819" s="389" t="s">
        <v>4591</v>
      </c>
      <c r="G2819" s="385">
        <v>45930</v>
      </c>
      <c r="H2819" s="367" t="s">
        <v>9</v>
      </c>
      <c r="I2819" s="368" t="str">
        <f>VLOOKUP(H2819,'Source Codes'!A$2:B$115,2,FALSE)</f>
        <v>On Line Journal Entries</v>
      </c>
      <c r="J2819" s="422">
        <v>1750871.24</v>
      </c>
      <c r="K2819" s="385">
        <v>45931</v>
      </c>
      <c r="L2819" s="369" t="s">
        <v>4599</v>
      </c>
      <c r="M2819" s="390">
        <v>45931.870682870373</v>
      </c>
      <c r="N2819" s="368" t="s">
        <v>2185</v>
      </c>
      <c r="O2819" s="368" t="s">
        <v>364</v>
      </c>
      <c r="P2819" s="368" t="str">
        <f t="shared" si="58"/>
        <v>Revenue</v>
      </c>
      <c r="Q2819" s="366" t="s">
        <v>2232</v>
      </c>
      <c r="R2819" s="366" t="s">
        <v>3454</v>
      </c>
      <c r="S2819" s="366" t="s">
        <v>4610</v>
      </c>
    </row>
    <row r="2820" spans="1:19" ht="15" hidden="1" outlineLevel="1">
      <c r="B2820" s="384">
        <v>2026</v>
      </c>
      <c r="C2820" s="384">
        <v>3</v>
      </c>
      <c r="D2820" s="367" t="s">
        <v>5</v>
      </c>
      <c r="E2820" s="367" t="s">
        <v>6</v>
      </c>
      <c r="F2820" s="389" t="s">
        <v>4592</v>
      </c>
      <c r="G2820" s="385">
        <v>45926</v>
      </c>
      <c r="H2820" s="367" t="s">
        <v>9</v>
      </c>
      <c r="I2820" s="368" t="str">
        <f>VLOOKUP(H2820,'Source Codes'!A$2:B$115,2,FALSE)</f>
        <v>On Line Journal Entries</v>
      </c>
      <c r="J2820" s="422">
        <v>1605502.76</v>
      </c>
      <c r="K2820" s="385">
        <v>45931</v>
      </c>
      <c r="L2820" s="369" t="s">
        <v>4600</v>
      </c>
      <c r="M2820" s="390">
        <v>45931.870682870373</v>
      </c>
      <c r="N2820" s="368" t="s">
        <v>356</v>
      </c>
      <c r="O2820" s="368" t="s">
        <v>371</v>
      </c>
      <c r="P2820" s="368" t="str">
        <f t="shared" si="58"/>
        <v>Revenue</v>
      </c>
      <c r="Q2820" s="366" t="s">
        <v>2164</v>
      </c>
      <c r="R2820" s="394" t="s">
        <v>4611</v>
      </c>
      <c r="S2820" s="366">
        <v>755909</v>
      </c>
    </row>
    <row r="2821" spans="1:19" ht="45" hidden="1" outlineLevel="1">
      <c r="B2821" s="384">
        <v>2026</v>
      </c>
      <c r="C2821" s="384">
        <v>3</v>
      </c>
      <c r="D2821" s="367" t="s">
        <v>5</v>
      </c>
      <c r="E2821" s="367" t="s">
        <v>6</v>
      </c>
      <c r="F2821" s="389" t="s">
        <v>4593</v>
      </c>
      <c r="G2821" s="385">
        <v>45926</v>
      </c>
      <c r="H2821" s="367" t="s">
        <v>9</v>
      </c>
      <c r="I2821" s="368" t="str">
        <f>VLOOKUP(H2821,'Source Codes'!A$2:B$115,2,FALSE)</f>
        <v>On Line Journal Entries</v>
      </c>
      <c r="J2821" s="422">
        <v>-1406768.19</v>
      </c>
      <c r="K2821" s="385">
        <v>45931</v>
      </c>
      <c r="L2821" s="369" t="s">
        <v>4601</v>
      </c>
      <c r="M2821" s="390">
        <v>45931.870682870373</v>
      </c>
      <c r="N2821" s="368" t="s">
        <v>356</v>
      </c>
      <c r="O2821" s="368" t="s">
        <v>371</v>
      </c>
      <c r="P2821" s="368" t="str">
        <f t="shared" si="58"/>
        <v>Expense</v>
      </c>
      <c r="Q2821" s="366" t="s">
        <v>3579</v>
      </c>
      <c r="R2821" s="366" t="s">
        <v>4612</v>
      </c>
      <c r="S2821" s="366" t="s">
        <v>2166</v>
      </c>
    </row>
    <row r="2822" spans="1:19" ht="15" hidden="1" outlineLevel="1">
      <c r="B2822" s="384">
        <v>2026</v>
      </c>
      <c r="C2822" s="384">
        <v>4</v>
      </c>
      <c r="D2822" s="367" t="s">
        <v>5</v>
      </c>
      <c r="E2822" s="367" t="s">
        <v>6</v>
      </c>
      <c r="F2822" s="389" t="s">
        <v>4594</v>
      </c>
      <c r="G2822" s="385">
        <v>45931</v>
      </c>
      <c r="H2822" s="367" t="s">
        <v>13</v>
      </c>
      <c r="I2822" s="368" t="str">
        <f>VLOOKUP(H2822,'Source Codes'!A$2:B$115,2,FALSE)</f>
        <v>C-IV Voucher/Payments/EBT</v>
      </c>
      <c r="J2822" s="422">
        <v>-12037064.24</v>
      </c>
      <c r="K2822" s="385">
        <v>45931</v>
      </c>
      <c r="L2822" s="369" t="s">
        <v>4602</v>
      </c>
      <c r="M2822" s="390">
        <v>45931.870717592596</v>
      </c>
      <c r="N2822" s="368" t="s">
        <v>356</v>
      </c>
      <c r="O2822" s="368" t="s">
        <v>364</v>
      </c>
      <c r="P2822" s="368" t="str">
        <f t="shared" si="58"/>
        <v>Expense</v>
      </c>
      <c r="Q2822" s="366" t="s">
        <v>2204</v>
      </c>
      <c r="R2822" s="365">
        <v>45901</v>
      </c>
      <c r="S2822" s="366">
        <v>530480</v>
      </c>
    </row>
    <row r="2823" spans="1:19" ht="15" hidden="1" outlineLevel="1">
      <c r="B2823" s="384">
        <v>2026</v>
      </c>
      <c r="C2823" s="384">
        <v>4</v>
      </c>
      <c r="D2823" s="367" t="s">
        <v>5</v>
      </c>
      <c r="E2823" s="367" t="s">
        <v>6</v>
      </c>
      <c r="F2823" s="389" t="s">
        <v>4595</v>
      </c>
      <c r="G2823" s="385">
        <v>45931</v>
      </c>
      <c r="H2823" s="367" t="s">
        <v>13</v>
      </c>
      <c r="I2823" s="368" t="str">
        <f>VLOOKUP(H2823,'Source Codes'!A$2:B$115,2,FALSE)</f>
        <v>C-IV Voucher/Payments/EBT</v>
      </c>
      <c r="J2823" s="422">
        <v>-16285536.42</v>
      </c>
      <c r="K2823" s="385">
        <v>45931</v>
      </c>
      <c r="L2823" s="369" t="s">
        <v>4603</v>
      </c>
      <c r="M2823" s="390">
        <v>45931.653912037036</v>
      </c>
      <c r="N2823" s="368" t="s">
        <v>356</v>
      </c>
      <c r="O2823" s="368" t="s">
        <v>364</v>
      </c>
      <c r="P2823" s="368" t="str">
        <f t="shared" si="58"/>
        <v>Expense</v>
      </c>
      <c r="Q2823" s="366" t="s">
        <v>2204</v>
      </c>
      <c r="R2823" s="365">
        <v>45901</v>
      </c>
      <c r="S2823" s="366">
        <v>530480</v>
      </c>
    </row>
    <row r="2824" spans="1:19" ht="12.75" customHeight="1" collapsed="1">
      <c r="I2824" s="368"/>
      <c r="J2824" s="413">
        <f>SUM(J2812:J2823)</f>
        <v>65053878.420000002</v>
      </c>
      <c r="P2824" s="368"/>
    </row>
    <row r="2825" spans="1:19" ht="12.75" customHeight="1">
      <c r="I2825" s="368"/>
      <c r="P2825" s="368"/>
    </row>
    <row r="2826" spans="1:19" ht="12.75" customHeight="1">
      <c r="A2826" s="378" t="s">
        <v>4613</v>
      </c>
      <c r="I2826" s="368"/>
      <c r="P2826" s="368"/>
    </row>
    <row r="2827" spans="1:19" ht="30" hidden="1" outlineLevel="1">
      <c r="B2827" s="384">
        <v>2026</v>
      </c>
      <c r="C2827" s="384">
        <v>3</v>
      </c>
      <c r="D2827" s="367" t="s">
        <v>5</v>
      </c>
      <c r="E2827" s="367" t="s">
        <v>6</v>
      </c>
      <c r="F2827" s="389" t="s">
        <v>4614</v>
      </c>
      <c r="G2827" s="385">
        <v>45919</v>
      </c>
      <c r="H2827" s="367" t="s">
        <v>9</v>
      </c>
      <c r="I2827" s="368" t="str">
        <f>VLOOKUP(H2827,'Source Codes'!A$2:B$115,2,FALSE)</f>
        <v>On Line Journal Entries</v>
      </c>
      <c r="J2827" s="422">
        <v>16479910.970000001</v>
      </c>
      <c r="K2827" s="385">
        <v>45932</v>
      </c>
      <c r="L2827" s="369" t="s">
        <v>344</v>
      </c>
      <c r="M2827" s="390">
        <v>45932.481226851851</v>
      </c>
      <c r="N2827" s="368" t="s">
        <v>356</v>
      </c>
      <c r="O2827" s="368" t="s">
        <v>364</v>
      </c>
      <c r="P2827" s="368" t="str">
        <f t="shared" si="58"/>
        <v>Revenue</v>
      </c>
      <c r="Q2827" s="366" t="s">
        <v>2232</v>
      </c>
      <c r="R2827" s="366" t="s">
        <v>2232</v>
      </c>
      <c r="S2827" s="366" t="s">
        <v>4618</v>
      </c>
    </row>
    <row r="2828" spans="1:19" ht="30" hidden="1" outlineLevel="1">
      <c r="B2828" s="384">
        <v>2026</v>
      </c>
      <c r="C2828" s="384">
        <v>3</v>
      </c>
      <c r="D2828" s="367" t="s">
        <v>5</v>
      </c>
      <c r="E2828" s="367" t="s">
        <v>6</v>
      </c>
      <c r="F2828" s="389" t="s">
        <v>4615</v>
      </c>
      <c r="G2828" s="385">
        <v>45917</v>
      </c>
      <c r="H2828" s="367" t="s">
        <v>9</v>
      </c>
      <c r="I2828" s="368" t="str">
        <f>VLOOKUP(H2828,'Source Codes'!A$2:B$115,2,FALSE)</f>
        <v>On Line Journal Entries</v>
      </c>
      <c r="J2828" s="422">
        <v>13253993.15</v>
      </c>
      <c r="K2828" s="385">
        <v>45932</v>
      </c>
      <c r="L2828" s="369" t="s">
        <v>344</v>
      </c>
      <c r="M2828" s="390">
        <v>45932.481979166667</v>
      </c>
      <c r="N2828" s="368" t="s">
        <v>356</v>
      </c>
      <c r="O2828" s="368" t="s">
        <v>364</v>
      </c>
      <c r="P2828" s="368" t="str">
        <f t="shared" si="58"/>
        <v>Revenue</v>
      </c>
      <c r="Q2828" s="366" t="s">
        <v>2232</v>
      </c>
      <c r="R2828" s="366" t="s">
        <v>2232</v>
      </c>
      <c r="S2828" s="366" t="s">
        <v>203</v>
      </c>
    </row>
    <row r="2829" spans="1:19" ht="30" hidden="1" outlineLevel="1">
      <c r="B2829" s="384">
        <v>2026</v>
      </c>
      <c r="C2829" s="384">
        <v>3</v>
      </c>
      <c r="D2829" s="367" t="s">
        <v>5</v>
      </c>
      <c r="E2829" s="367" t="s">
        <v>6</v>
      </c>
      <c r="F2829" s="389" t="s">
        <v>4616</v>
      </c>
      <c r="G2829" s="385">
        <v>45918</v>
      </c>
      <c r="H2829" s="367" t="s">
        <v>9</v>
      </c>
      <c r="I2829" s="368" t="str">
        <f>VLOOKUP(H2829,'Source Codes'!A$2:B$115,2,FALSE)</f>
        <v>On Line Journal Entries</v>
      </c>
      <c r="J2829" s="422">
        <v>1597403</v>
      </c>
      <c r="K2829" s="385">
        <v>45932</v>
      </c>
      <c r="L2829" s="369" t="s">
        <v>4617</v>
      </c>
      <c r="M2829" s="390">
        <v>45932.870821759258</v>
      </c>
      <c r="N2829" s="368" t="s">
        <v>2185</v>
      </c>
      <c r="O2829" s="368" t="s">
        <v>1180</v>
      </c>
      <c r="P2829" s="368" t="str">
        <f t="shared" si="58"/>
        <v>Revenue</v>
      </c>
      <c r="Q2829" s="366" t="s">
        <v>4129</v>
      </c>
      <c r="R2829" s="365" t="s">
        <v>4619</v>
      </c>
      <c r="S2829" s="366">
        <v>774760</v>
      </c>
    </row>
    <row r="2830" spans="1:19" ht="45" hidden="1" outlineLevel="1">
      <c r="B2830" s="384">
        <v>2026</v>
      </c>
      <c r="C2830" s="384">
        <v>3</v>
      </c>
      <c r="D2830" s="367" t="s">
        <v>5</v>
      </c>
      <c r="E2830" s="367" t="s">
        <v>6</v>
      </c>
      <c r="F2830" s="389" t="s">
        <v>4620</v>
      </c>
      <c r="G2830" s="385">
        <v>45929</v>
      </c>
      <c r="H2830" s="367" t="s">
        <v>9</v>
      </c>
      <c r="I2830" s="368" t="str">
        <f>VLOOKUP(H2830,'Source Codes'!A$2:B$115,2,FALSE)</f>
        <v>On Line Journal Entries</v>
      </c>
      <c r="J2830" s="422">
        <v>-6660875</v>
      </c>
      <c r="K2830" s="385">
        <v>45932</v>
      </c>
      <c r="L2830" s="369" t="s">
        <v>4621</v>
      </c>
      <c r="M2830" s="390">
        <v>45932.492152777777</v>
      </c>
      <c r="N2830" s="368" t="s">
        <v>356</v>
      </c>
      <c r="O2830" s="368" t="s">
        <v>368</v>
      </c>
      <c r="P2830" s="368" t="str">
        <f t="shared" si="58"/>
        <v>Expense</v>
      </c>
      <c r="Q2830" s="366" t="s">
        <v>2270</v>
      </c>
      <c r="R2830" s="366" t="s">
        <v>4622</v>
      </c>
      <c r="S2830" s="366">
        <v>530280</v>
      </c>
    </row>
    <row r="2831" spans="1:19" ht="12.75" customHeight="1" collapsed="1">
      <c r="J2831" s="413">
        <f>SUM(J2827:J2830)</f>
        <v>24670432.120000001</v>
      </c>
    </row>
    <row r="2833" spans="1:19" ht="12.75" customHeight="1">
      <c r="A2833" s="378" t="s">
        <v>4623</v>
      </c>
    </row>
    <row r="2834" spans="1:19" ht="42" customHeight="1">
      <c r="B2834" s="384">
        <v>2026</v>
      </c>
      <c r="C2834" s="384">
        <v>4</v>
      </c>
      <c r="D2834" s="367" t="s">
        <v>5</v>
      </c>
      <c r="E2834" s="367" t="s">
        <v>6</v>
      </c>
      <c r="F2834" s="389" t="s">
        <v>4624</v>
      </c>
      <c r="G2834" s="385">
        <v>45936</v>
      </c>
      <c r="H2834" s="367" t="s">
        <v>11</v>
      </c>
      <c r="I2834" s="368" t="str">
        <f>VLOOKUP(H2834,'Source Codes'!A$2:B$115,2,FALSE)</f>
        <v>AR Payments</v>
      </c>
      <c r="J2834" s="422">
        <v>1365287.1</v>
      </c>
      <c r="K2834" s="385">
        <v>45936</v>
      </c>
      <c r="L2834" s="369" t="s">
        <v>4633</v>
      </c>
      <c r="M2834" s="390">
        <v>45936.751898148148</v>
      </c>
      <c r="N2834" s="368" t="s">
        <v>359</v>
      </c>
      <c r="O2834" s="367" t="s">
        <v>357</v>
      </c>
      <c r="P2834" s="368" t="s">
        <v>2290</v>
      </c>
      <c r="Q2834" s="366" t="s">
        <v>2157</v>
      </c>
      <c r="R2834" s="366" t="s">
        <v>2157</v>
      </c>
      <c r="S2834" s="366">
        <v>118501</v>
      </c>
    </row>
    <row r="2835" spans="1:19" ht="39.75" customHeight="1">
      <c r="B2835" s="384">
        <v>2026</v>
      </c>
      <c r="C2835" s="384">
        <v>4</v>
      </c>
      <c r="D2835" s="367" t="s">
        <v>5</v>
      </c>
      <c r="E2835" s="367" t="s">
        <v>6</v>
      </c>
      <c r="F2835" s="389" t="s">
        <v>4625</v>
      </c>
      <c r="G2835" s="385">
        <v>45933</v>
      </c>
      <c r="H2835" s="367" t="s">
        <v>11</v>
      </c>
      <c r="I2835" s="368" t="str">
        <f>VLOOKUP(H2835,'Source Codes'!A$2:B$115,2,FALSE)</f>
        <v>AR Payments</v>
      </c>
      <c r="J2835" s="422">
        <v>1379860.07</v>
      </c>
      <c r="K2835" s="385">
        <v>45936</v>
      </c>
      <c r="L2835" s="369" t="s">
        <v>4630</v>
      </c>
      <c r="M2835" s="390">
        <v>45936.751898148148</v>
      </c>
      <c r="N2835" s="368" t="s">
        <v>359</v>
      </c>
      <c r="O2835" s="367" t="s">
        <v>357</v>
      </c>
      <c r="P2835" s="368" t="s">
        <v>2290</v>
      </c>
      <c r="Q2835" s="366" t="s">
        <v>2157</v>
      </c>
      <c r="R2835" s="366" t="s">
        <v>2157</v>
      </c>
      <c r="S2835" s="366" t="s">
        <v>2278</v>
      </c>
    </row>
    <row r="2836" spans="1:19" ht="75">
      <c r="B2836" s="384">
        <v>2026</v>
      </c>
      <c r="C2836" s="384">
        <v>4</v>
      </c>
      <c r="D2836" s="367" t="s">
        <v>5</v>
      </c>
      <c r="E2836" s="367" t="s">
        <v>6</v>
      </c>
      <c r="F2836" s="389" t="s">
        <v>4626</v>
      </c>
      <c r="G2836" s="385">
        <v>45933</v>
      </c>
      <c r="H2836" s="367" t="s">
        <v>12</v>
      </c>
      <c r="I2836" s="368" t="str">
        <f>VLOOKUP(H2836,'Source Codes'!A$2:B$115,2,FALSE)</f>
        <v>AR Direct Cash Journal</v>
      </c>
      <c r="J2836" s="422">
        <v>1851680.95</v>
      </c>
      <c r="K2836" s="385">
        <v>45936</v>
      </c>
      <c r="L2836" s="369" t="s">
        <v>4632</v>
      </c>
      <c r="M2836" s="390">
        <v>45936.751898148148</v>
      </c>
      <c r="N2836" s="368" t="s">
        <v>359</v>
      </c>
      <c r="O2836" s="367" t="s">
        <v>357</v>
      </c>
      <c r="P2836" s="368" t="s">
        <v>2290</v>
      </c>
      <c r="Q2836" s="366" t="s">
        <v>2157</v>
      </c>
      <c r="R2836" s="366" t="s">
        <v>2157</v>
      </c>
      <c r="S2836" s="366" t="s">
        <v>4631</v>
      </c>
    </row>
    <row r="2837" spans="1:19" ht="15" hidden="1" outlineLevel="1">
      <c r="B2837" s="384">
        <v>2026</v>
      </c>
      <c r="C2837" s="384">
        <v>4</v>
      </c>
      <c r="D2837" s="367" t="s">
        <v>5</v>
      </c>
      <c r="E2837" s="367" t="s">
        <v>6</v>
      </c>
      <c r="F2837" s="389" t="s">
        <v>4627</v>
      </c>
      <c r="G2837" s="385">
        <v>45931</v>
      </c>
      <c r="H2837" s="367" t="s">
        <v>7</v>
      </c>
      <c r="I2837" s="368" t="str">
        <f>VLOOKUP(H2837,'Source Codes'!A$2:B$115,2,FALSE)</f>
        <v>HRMS Interface Journals</v>
      </c>
      <c r="J2837" s="422">
        <v>-2472519.39</v>
      </c>
      <c r="K2837" s="385">
        <v>45936</v>
      </c>
      <c r="L2837" s="369" t="s">
        <v>409</v>
      </c>
      <c r="M2837" s="390">
        <v>45936.37537037037</v>
      </c>
      <c r="N2837" s="366" t="s">
        <v>378</v>
      </c>
      <c r="O2837" s="367" t="s">
        <v>379</v>
      </c>
      <c r="P2837" s="368" t="s">
        <v>2613</v>
      </c>
      <c r="Q2837" s="366" t="s">
        <v>379</v>
      </c>
      <c r="R2837" s="366" t="s">
        <v>4579</v>
      </c>
      <c r="S2837" s="366">
        <v>513120</v>
      </c>
    </row>
    <row r="2838" spans="1:19" ht="15" hidden="1" outlineLevel="1">
      <c r="B2838" s="384">
        <v>2026</v>
      </c>
      <c r="C2838" s="384">
        <v>4</v>
      </c>
      <c r="D2838" s="367" t="s">
        <v>5</v>
      </c>
      <c r="E2838" s="367" t="s">
        <v>6</v>
      </c>
      <c r="F2838" s="389" t="s">
        <v>4628</v>
      </c>
      <c r="G2838" s="385">
        <v>45931</v>
      </c>
      <c r="H2838" s="367" t="s">
        <v>7</v>
      </c>
      <c r="I2838" s="368" t="str">
        <f>VLOOKUP(H2838,'Source Codes'!A$2:B$115,2,FALSE)</f>
        <v>HRMS Interface Journals</v>
      </c>
      <c r="J2838" s="422">
        <v>-10215581.51</v>
      </c>
      <c r="K2838" s="385">
        <v>45936</v>
      </c>
      <c r="L2838" s="369" t="s">
        <v>407</v>
      </c>
      <c r="M2838" s="390">
        <v>45936.363263888888</v>
      </c>
      <c r="N2838" s="366" t="s">
        <v>378</v>
      </c>
      <c r="O2838" s="367" t="s">
        <v>379</v>
      </c>
      <c r="P2838" s="368" t="s">
        <v>2613</v>
      </c>
      <c r="Q2838" s="366" t="s">
        <v>379</v>
      </c>
      <c r="R2838" s="366" t="s">
        <v>4579</v>
      </c>
      <c r="S2838" s="366" t="s">
        <v>203</v>
      </c>
    </row>
    <row r="2839" spans="1:19" ht="15" hidden="1" outlineLevel="1">
      <c r="B2839" s="384">
        <v>2026</v>
      </c>
      <c r="C2839" s="384">
        <v>4</v>
      </c>
      <c r="D2839" s="367" t="s">
        <v>5</v>
      </c>
      <c r="E2839" s="367" t="s">
        <v>6</v>
      </c>
      <c r="F2839" s="389" t="s">
        <v>4629</v>
      </c>
      <c r="G2839" s="385">
        <v>45931</v>
      </c>
      <c r="H2839" s="367" t="s">
        <v>7</v>
      </c>
      <c r="I2839" s="368" t="str">
        <f>VLOOKUP(H2839,'Source Codes'!A$2:B$115,2,FALSE)</f>
        <v>HRMS Interface Journals</v>
      </c>
      <c r="J2839" s="422">
        <v>-72974423.5</v>
      </c>
      <c r="K2839" s="385">
        <v>45936</v>
      </c>
      <c r="L2839" s="369" t="s">
        <v>406</v>
      </c>
      <c r="M2839" s="390">
        <v>45936.37091435185</v>
      </c>
      <c r="N2839" s="366" t="s">
        <v>378</v>
      </c>
      <c r="O2839" s="367" t="s">
        <v>371</v>
      </c>
      <c r="P2839" s="368" t="s">
        <v>2613</v>
      </c>
      <c r="Q2839" s="366" t="s">
        <v>379</v>
      </c>
      <c r="R2839" s="366" t="s">
        <v>4579</v>
      </c>
      <c r="S2839" s="366" t="s">
        <v>203</v>
      </c>
    </row>
    <row r="2840" spans="1:19" ht="12.75" customHeight="1" collapsed="1">
      <c r="J2840" s="413">
        <f>SUM(J2834:J2839)</f>
        <v>-81065696.280000001</v>
      </c>
    </row>
    <row r="2842" spans="1:19" ht="12.75" customHeight="1">
      <c r="A2842" s="378" t="s">
        <v>4634</v>
      </c>
    </row>
    <row r="2843" spans="1:19" ht="60" hidden="1" outlineLevel="1">
      <c r="B2843" s="384">
        <v>2026</v>
      </c>
      <c r="C2843" s="384">
        <v>4</v>
      </c>
      <c r="D2843" s="367" t="s">
        <v>5</v>
      </c>
      <c r="E2843" s="367" t="s">
        <v>6</v>
      </c>
      <c r="F2843" s="389" t="s">
        <v>4635</v>
      </c>
      <c r="G2843" s="385">
        <v>45932</v>
      </c>
      <c r="H2843" s="367" t="s">
        <v>12</v>
      </c>
      <c r="I2843" s="368" t="str">
        <f>VLOOKUP(H2843,'Source Codes'!A$2:B$115,2,FALSE)</f>
        <v>AR Direct Cash Journal</v>
      </c>
      <c r="J2843" s="422">
        <v>4224045.59</v>
      </c>
      <c r="K2843" s="385">
        <v>45937</v>
      </c>
      <c r="L2843" s="369" t="s">
        <v>4638</v>
      </c>
      <c r="M2843" s="390">
        <v>45937.752060185187</v>
      </c>
      <c r="N2843" s="366" t="s">
        <v>361</v>
      </c>
      <c r="O2843" s="367" t="s">
        <v>370</v>
      </c>
      <c r="P2843" s="368" t="s">
        <v>2290</v>
      </c>
      <c r="Q2843" s="366" t="s">
        <v>2264</v>
      </c>
      <c r="R2843" s="366" t="s">
        <v>4497</v>
      </c>
      <c r="S2843" s="366" t="s">
        <v>203</v>
      </c>
    </row>
    <row r="2844" spans="1:19" ht="45" hidden="1" outlineLevel="1">
      <c r="B2844" s="384">
        <v>2026</v>
      </c>
      <c r="C2844" s="384">
        <v>4</v>
      </c>
      <c r="D2844" s="367" t="s">
        <v>5</v>
      </c>
      <c r="E2844" s="367" t="s">
        <v>6</v>
      </c>
      <c r="F2844" s="389" t="s">
        <v>4636</v>
      </c>
      <c r="G2844" s="385">
        <v>45933</v>
      </c>
      <c r="H2844" s="367" t="s">
        <v>12</v>
      </c>
      <c r="I2844" s="368" t="str">
        <f>VLOOKUP(H2844,'Source Codes'!A$2:B$115,2,FALSE)</f>
        <v>AR Direct Cash Journal</v>
      </c>
      <c r="J2844" s="422">
        <v>6657905.7199999997</v>
      </c>
      <c r="K2844" s="385">
        <v>45937</v>
      </c>
      <c r="L2844" s="369" t="s">
        <v>4637</v>
      </c>
      <c r="M2844" s="390">
        <v>45937.752060185187</v>
      </c>
      <c r="N2844" s="366" t="s">
        <v>361</v>
      </c>
      <c r="O2844" s="367" t="s">
        <v>370</v>
      </c>
      <c r="P2844" s="368" t="s">
        <v>2290</v>
      </c>
      <c r="Q2844" s="366" t="s">
        <v>2264</v>
      </c>
      <c r="R2844" s="366" t="s">
        <v>4497</v>
      </c>
      <c r="S2844" s="366" t="s">
        <v>203</v>
      </c>
    </row>
    <row r="2845" spans="1:19" ht="12.75" customHeight="1" collapsed="1">
      <c r="B2845" s="396"/>
      <c r="C2845" s="396"/>
      <c r="J2845" s="413">
        <f>SUM(J2843:J2844)</f>
        <v>10881951.309999999</v>
      </c>
    </row>
    <row r="2846" spans="1:19" ht="12.75" customHeight="1">
      <c r="B2846" s="396"/>
      <c r="C2846" s="396"/>
    </row>
    <row r="2847" spans="1:19" ht="12.75" customHeight="1">
      <c r="A2847" s="378" t="s">
        <v>4639</v>
      </c>
      <c r="B2847" s="396"/>
      <c r="C2847" s="396"/>
    </row>
    <row r="2848" spans="1:19" ht="30" hidden="1" outlineLevel="1">
      <c r="B2848" s="384">
        <v>2026</v>
      </c>
      <c r="C2848" s="384">
        <v>4</v>
      </c>
      <c r="D2848" s="367" t="s">
        <v>5</v>
      </c>
      <c r="E2848" s="367" t="s">
        <v>6</v>
      </c>
      <c r="F2848" s="389" t="s">
        <v>4640</v>
      </c>
      <c r="G2848" s="385">
        <v>45940</v>
      </c>
      <c r="H2848" s="367" t="s">
        <v>14</v>
      </c>
      <c r="I2848" s="368" t="str">
        <f>VLOOKUP(H2848,'Source Codes'!A$2:B$115,2,FALSE)</f>
        <v>AP Warrant Issuance</v>
      </c>
      <c r="J2848" s="422">
        <v>-2445767.09</v>
      </c>
      <c r="K2848" s="385">
        <v>45938</v>
      </c>
      <c r="L2848" s="369" t="s">
        <v>4654</v>
      </c>
      <c r="M2848" s="390">
        <v>45938.758923611109</v>
      </c>
      <c r="N2848" s="366" t="s">
        <v>359</v>
      </c>
      <c r="O2848" s="367" t="s">
        <v>368</v>
      </c>
      <c r="P2848" s="368" t="s">
        <v>2613</v>
      </c>
      <c r="Q2848" s="366" t="s">
        <v>2154</v>
      </c>
      <c r="R2848" s="366" t="s">
        <v>2154</v>
      </c>
      <c r="S2848" s="366" t="s">
        <v>203</v>
      </c>
    </row>
    <row r="2849" spans="1:19" ht="60" hidden="1" outlineLevel="1">
      <c r="B2849" s="384">
        <v>2026</v>
      </c>
      <c r="C2849" s="384">
        <v>4</v>
      </c>
      <c r="D2849" s="367" t="s">
        <v>5</v>
      </c>
      <c r="E2849" s="367" t="s">
        <v>6</v>
      </c>
      <c r="F2849" s="389" t="s">
        <v>4641</v>
      </c>
      <c r="G2849" s="385">
        <v>45936</v>
      </c>
      <c r="H2849" s="367" t="s">
        <v>11</v>
      </c>
      <c r="I2849" s="368" t="str">
        <f>VLOOKUP(H2849,'Source Codes'!A$2:B$115,2,FALSE)</f>
        <v>AR Payments</v>
      </c>
      <c r="J2849" s="422">
        <v>1565611.99</v>
      </c>
      <c r="K2849" s="385">
        <v>45938</v>
      </c>
      <c r="L2849" s="369" t="s">
        <v>4662</v>
      </c>
      <c r="M2849" s="390">
        <v>45938.75209490741</v>
      </c>
      <c r="N2849" s="366" t="s">
        <v>359</v>
      </c>
      <c r="O2849" s="367" t="s">
        <v>357</v>
      </c>
      <c r="P2849" s="368" t="s">
        <v>2290</v>
      </c>
      <c r="Q2849" s="366" t="s">
        <v>2157</v>
      </c>
      <c r="R2849" s="366" t="s">
        <v>2157</v>
      </c>
      <c r="S2849" s="366" t="s">
        <v>2531</v>
      </c>
    </row>
    <row r="2850" spans="1:19" ht="15" hidden="1" outlineLevel="1">
      <c r="B2850" s="384">
        <v>2026</v>
      </c>
      <c r="C2850" s="384">
        <v>3</v>
      </c>
      <c r="D2850" s="367" t="s">
        <v>5</v>
      </c>
      <c r="E2850" s="367" t="s">
        <v>6</v>
      </c>
      <c r="F2850" s="389" t="s">
        <v>4642</v>
      </c>
      <c r="G2850" s="385">
        <v>45930</v>
      </c>
      <c r="H2850" s="367" t="s">
        <v>9</v>
      </c>
      <c r="I2850" s="368" t="str">
        <f>VLOOKUP(H2850,'Source Codes'!A$2:B$115,2,FALSE)</f>
        <v>On Line Journal Entries</v>
      </c>
      <c r="J2850" s="422">
        <v>5050500</v>
      </c>
      <c r="K2850" s="385">
        <v>45938</v>
      </c>
      <c r="L2850" s="369" t="s">
        <v>4648</v>
      </c>
      <c r="M2850" s="390">
        <v>45938.616296296299</v>
      </c>
      <c r="N2850" s="366" t="s">
        <v>361</v>
      </c>
      <c r="O2850" s="367" t="s">
        <v>368</v>
      </c>
      <c r="P2850" s="368" t="s">
        <v>2290</v>
      </c>
      <c r="Q2850" s="366" t="s">
        <v>2662</v>
      </c>
      <c r="R2850" s="366" t="s">
        <v>4655</v>
      </c>
      <c r="S2850" s="366">
        <v>751040</v>
      </c>
    </row>
    <row r="2851" spans="1:19" ht="30" hidden="1" outlineLevel="1">
      <c r="B2851" s="384">
        <v>2026</v>
      </c>
      <c r="C2851" s="384">
        <v>3</v>
      </c>
      <c r="D2851" s="367" t="s">
        <v>5</v>
      </c>
      <c r="E2851" s="367" t="s">
        <v>6</v>
      </c>
      <c r="F2851" s="389" t="s">
        <v>4643</v>
      </c>
      <c r="G2851" s="385">
        <v>45929</v>
      </c>
      <c r="H2851" s="367" t="s">
        <v>9</v>
      </c>
      <c r="I2851" s="368" t="str">
        <f>VLOOKUP(H2851,'Source Codes'!A$2:B$115,2,FALSE)</f>
        <v>On Line Journal Entries</v>
      </c>
      <c r="J2851" s="422">
        <v>1081363</v>
      </c>
      <c r="K2851" s="385">
        <v>45938</v>
      </c>
      <c r="L2851" s="369" t="s">
        <v>4649</v>
      </c>
      <c r="M2851" s="390">
        <v>45938.483854166669</v>
      </c>
      <c r="N2851" s="366" t="s">
        <v>361</v>
      </c>
      <c r="O2851" s="367" t="s">
        <v>367</v>
      </c>
      <c r="P2851" s="368" t="str">
        <f t="shared" ref="P2851:P2855" si="59">IF(J2851&gt;0,"Revenue",IF(J2851&lt;0,"Expense"))</f>
        <v>Revenue</v>
      </c>
      <c r="Q2851" s="366" t="s">
        <v>3947</v>
      </c>
      <c r="R2851" s="366" t="s">
        <v>4656</v>
      </c>
      <c r="S2851" s="366">
        <v>777520</v>
      </c>
    </row>
    <row r="2852" spans="1:19" ht="45" hidden="1" outlineLevel="1">
      <c r="B2852" s="384">
        <v>2026</v>
      </c>
      <c r="C2852" s="384">
        <v>4</v>
      </c>
      <c r="D2852" s="367" t="s">
        <v>5</v>
      </c>
      <c r="E2852" s="367" t="s">
        <v>6</v>
      </c>
      <c r="F2852" s="389" t="s">
        <v>4644</v>
      </c>
      <c r="G2852" s="385">
        <v>45937</v>
      </c>
      <c r="H2852" s="367" t="s">
        <v>9</v>
      </c>
      <c r="I2852" s="368" t="str">
        <f>VLOOKUP(H2852,'Source Codes'!A$2:B$115,2,FALSE)</f>
        <v>On Line Journal Entries</v>
      </c>
      <c r="J2852" s="422">
        <v>-1381926.62</v>
      </c>
      <c r="K2852" s="385">
        <v>45938</v>
      </c>
      <c r="L2852" s="369" t="s">
        <v>4650</v>
      </c>
      <c r="M2852" s="390">
        <v>45938.870428240742</v>
      </c>
      <c r="N2852" s="366" t="s">
        <v>387</v>
      </c>
      <c r="O2852" s="367" t="s">
        <v>358</v>
      </c>
      <c r="P2852" s="368" t="str">
        <f t="shared" si="59"/>
        <v>Expense</v>
      </c>
      <c r="Q2852" s="366" t="s">
        <v>4657</v>
      </c>
      <c r="R2852" s="366" t="s">
        <v>4657</v>
      </c>
      <c r="S2852" s="366" t="s">
        <v>4658</v>
      </c>
    </row>
    <row r="2853" spans="1:19" ht="45" hidden="1" outlineLevel="1">
      <c r="B2853" s="384">
        <v>2026</v>
      </c>
      <c r="C2853" s="384">
        <v>4</v>
      </c>
      <c r="D2853" s="367" t="s">
        <v>5</v>
      </c>
      <c r="E2853" s="367" t="s">
        <v>6</v>
      </c>
      <c r="F2853" s="389" t="s">
        <v>4645</v>
      </c>
      <c r="G2853" s="385">
        <v>45937</v>
      </c>
      <c r="H2853" s="367" t="s">
        <v>9</v>
      </c>
      <c r="I2853" s="368" t="str">
        <f>VLOOKUP(H2853,'Source Codes'!A$2:B$115,2,FALSE)</f>
        <v>On Line Journal Entries</v>
      </c>
      <c r="J2853" s="422">
        <v>-1678268.3</v>
      </c>
      <c r="K2853" s="385">
        <v>45938</v>
      </c>
      <c r="L2853" s="369" t="s">
        <v>4651</v>
      </c>
      <c r="M2853" s="390">
        <v>45938.870428240742</v>
      </c>
      <c r="N2853" s="366" t="s">
        <v>387</v>
      </c>
      <c r="O2853" s="367" t="s">
        <v>358</v>
      </c>
      <c r="P2853" s="368" t="str">
        <f t="shared" si="59"/>
        <v>Expense</v>
      </c>
      <c r="Q2853" s="366" t="s">
        <v>4657</v>
      </c>
      <c r="R2853" s="366" t="s">
        <v>4657</v>
      </c>
      <c r="S2853" s="366" t="s">
        <v>4659</v>
      </c>
    </row>
    <row r="2854" spans="1:19" ht="45" hidden="1" outlineLevel="1">
      <c r="B2854" s="384">
        <v>2026</v>
      </c>
      <c r="C2854" s="384">
        <v>4</v>
      </c>
      <c r="D2854" s="367" t="s">
        <v>5</v>
      </c>
      <c r="E2854" s="367" t="s">
        <v>6</v>
      </c>
      <c r="F2854" s="389" t="s">
        <v>4646</v>
      </c>
      <c r="G2854" s="385">
        <v>45937</v>
      </c>
      <c r="H2854" s="367" t="s">
        <v>9</v>
      </c>
      <c r="I2854" s="368" t="str">
        <f>VLOOKUP(H2854,'Source Codes'!A$2:B$115,2,FALSE)</f>
        <v>On Line Journal Entries</v>
      </c>
      <c r="J2854" s="422">
        <v>-2757662.5</v>
      </c>
      <c r="K2854" s="385">
        <v>45938</v>
      </c>
      <c r="L2854" s="369" t="s">
        <v>4652</v>
      </c>
      <c r="M2854" s="390">
        <v>45938.870428240742</v>
      </c>
      <c r="N2854" s="366" t="s">
        <v>387</v>
      </c>
      <c r="O2854" s="367" t="s">
        <v>358</v>
      </c>
      <c r="P2854" s="368" t="str">
        <f t="shared" si="59"/>
        <v>Expense</v>
      </c>
      <c r="Q2854" s="366" t="s">
        <v>4657</v>
      </c>
      <c r="R2854" s="366" t="s">
        <v>4657</v>
      </c>
      <c r="S2854" s="366" t="s">
        <v>4660</v>
      </c>
    </row>
    <row r="2855" spans="1:19" ht="45" hidden="1" outlineLevel="1">
      <c r="B2855" s="384">
        <v>2026</v>
      </c>
      <c r="C2855" s="384">
        <v>4</v>
      </c>
      <c r="D2855" s="367" t="s">
        <v>5</v>
      </c>
      <c r="E2855" s="367" t="s">
        <v>6</v>
      </c>
      <c r="F2855" s="389" t="s">
        <v>4647</v>
      </c>
      <c r="G2855" s="385">
        <v>45937</v>
      </c>
      <c r="H2855" s="367" t="s">
        <v>9</v>
      </c>
      <c r="I2855" s="368" t="str">
        <f>VLOOKUP(H2855,'Source Codes'!A$2:B$115,2,FALSE)</f>
        <v>On Line Journal Entries</v>
      </c>
      <c r="J2855" s="422">
        <v>-11169924.109999999</v>
      </c>
      <c r="K2855" s="385">
        <v>45938</v>
      </c>
      <c r="L2855" s="369" t="s">
        <v>4653</v>
      </c>
      <c r="M2855" s="390">
        <v>45938.870428240742</v>
      </c>
      <c r="N2855" s="366" t="s">
        <v>387</v>
      </c>
      <c r="O2855" s="367" t="s">
        <v>358</v>
      </c>
      <c r="P2855" s="368" t="str">
        <f t="shared" si="59"/>
        <v>Expense</v>
      </c>
      <c r="Q2855" s="366" t="s">
        <v>4657</v>
      </c>
      <c r="R2855" s="366" t="s">
        <v>4657</v>
      </c>
      <c r="S2855" s="366" t="s">
        <v>4661</v>
      </c>
    </row>
    <row r="2856" spans="1:19" ht="12.75" customHeight="1" collapsed="1">
      <c r="J2856" s="413">
        <f>SUM(J2848:J2855)</f>
        <v>-11736073.629999999</v>
      </c>
    </row>
    <row r="2858" spans="1:19" ht="15" customHeight="1">
      <c r="A2858" s="378" t="s">
        <v>4663</v>
      </c>
    </row>
    <row r="2859" spans="1:19" ht="45" hidden="1" outlineLevel="1">
      <c r="B2859" s="384">
        <v>2026</v>
      </c>
      <c r="C2859" s="384">
        <v>4</v>
      </c>
      <c r="D2859" s="367" t="s">
        <v>5</v>
      </c>
      <c r="E2859" s="367" t="s">
        <v>6</v>
      </c>
      <c r="F2859" s="389" t="s">
        <v>4664</v>
      </c>
      <c r="G2859" s="385">
        <v>45939</v>
      </c>
      <c r="H2859" s="367" t="s">
        <v>11</v>
      </c>
      <c r="I2859" s="368" t="str">
        <f>VLOOKUP(H2859,'Source Codes'!A$2:B$115,2,FALSE)</f>
        <v>AR Payments</v>
      </c>
      <c r="J2859" s="422">
        <v>2502784.21</v>
      </c>
      <c r="K2859" s="385">
        <v>45939</v>
      </c>
      <c r="L2859" s="369" t="s">
        <v>4667</v>
      </c>
      <c r="M2859" s="390">
        <v>45939.752060185187</v>
      </c>
      <c r="N2859" s="366" t="s">
        <v>356</v>
      </c>
      <c r="O2859" s="367" t="s">
        <v>357</v>
      </c>
      <c r="P2859" s="368" t="str">
        <f t="shared" ref="P2859:P2860" si="60">IF(J2859&gt;0,"Revenue",IF(J2859&lt;0,"Expense"))</f>
        <v>Revenue</v>
      </c>
      <c r="Q2859" s="366" t="s">
        <v>2157</v>
      </c>
      <c r="R2859" s="366" t="s">
        <v>2157</v>
      </c>
      <c r="S2859" s="366" t="s">
        <v>2278</v>
      </c>
    </row>
    <row r="2860" spans="1:19" ht="30" hidden="1" outlineLevel="1">
      <c r="B2860" s="384">
        <v>2026</v>
      </c>
      <c r="C2860" s="384">
        <v>3</v>
      </c>
      <c r="D2860" s="367" t="s">
        <v>5</v>
      </c>
      <c r="E2860" s="367" t="s">
        <v>6</v>
      </c>
      <c r="F2860" s="389" t="s">
        <v>4665</v>
      </c>
      <c r="G2860" s="385">
        <v>45930</v>
      </c>
      <c r="H2860" s="367" t="s">
        <v>9</v>
      </c>
      <c r="I2860" s="368" t="str">
        <f>VLOOKUP(H2860,'Source Codes'!A$2:B$115,2,FALSE)</f>
        <v>On Line Journal Entries</v>
      </c>
      <c r="J2860" s="422">
        <v>2493557.04</v>
      </c>
      <c r="K2860" s="385">
        <v>45939</v>
      </c>
      <c r="L2860" s="369" t="s">
        <v>4666</v>
      </c>
      <c r="M2860" s="390">
        <v>45939.45239583333</v>
      </c>
      <c r="N2860" s="366" t="s">
        <v>361</v>
      </c>
      <c r="O2860" s="367" t="s">
        <v>510</v>
      </c>
      <c r="P2860" s="368" t="str">
        <f t="shared" si="60"/>
        <v>Revenue</v>
      </c>
      <c r="Q2860" s="366" t="s">
        <v>2122</v>
      </c>
      <c r="R2860" s="366" t="s">
        <v>4668</v>
      </c>
      <c r="S2860" s="366">
        <v>781100</v>
      </c>
    </row>
    <row r="2861" spans="1:19" ht="12.75" customHeight="1" collapsed="1">
      <c r="J2861" s="413">
        <f>SUM(J2859:J2860)</f>
        <v>4996341.25</v>
      </c>
    </row>
    <row r="2863" spans="1:19" ht="12.75" customHeight="1">
      <c r="A2863" s="378" t="s">
        <v>4669</v>
      </c>
    </row>
    <row r="2864" spans="1:19" ht="45" hidden="1" outlineLevel="1">
      <c r="B2864" s="384">
        <v>2026</v>
      </c>
      <c r="C2864" s="384">
        <v>4</v>
      </c>
      <c r="D2864" s="367" t="s">
        <v>5</v>
      </c>
      <c r="E2864" s="367" t="s">
        <v>6</v>
      </c>
      <c r="F2864" s="389" t="s">
        <v>4670</v>
      </c>
      <c r="G2864" s="385">
        <v>45939</v>
      </c>
      <c r="H2864" s="367" t="s">
        <v>11</v>
      </c>
      <c r="I2864" s="368" t="str">
        <f>VLOOKUP(H2864,'Source Codes'!A$2:B$115,2,FALSE)</f>
        <v>AR Payments</v>
      </c>
      <c r="J2864" s="422">
        <v>3714156.33</v>
      </c>
      <c r="K2864" s="385">
        <v>45940</v>
      </c>
      <c r="L2864" s="369" t="s">
        <v>4671</v>
      </c>
      <c r="M2864" s="390">
        <v>45940.752071759256</v>
      </c>
      <c r="N2864" s="366" t="s">
        <v>356</v>
      </c>
      <c r="O2864" s="367" t="s">
        <v>357</v>
      </c>
      <c r="P2864" s="368" t="str">
        <f t="shared" ref="P2864" si="61">IF(J2864&gt;0,"Revenue",IF(J2864&lt;0,"Expense"))</f>
        <v>Revenue</v>
      </c>
      <c r="Q2864" s="366" t="s">
        <v>2157</v>
      </c>
      <c r="R2864" s="366" t="s">
        <v>2157</v>
      </c>
      <c r="S2864" s="366" t="s">
        <v>4188</v>
      </c>
    </row>
    <row r="2865" spans="1:19" ht="12.75" customHeight="1" collapsed="1">
      <c r="J2865" s="413">
        <f>SUM(J2864)</f>
        <v>3714156.33</v>
      </c>
    </row>
    <row r="2867" spans="1:19" ht="12.75" customHeight="1">
      <c r="A2867" s="378" t="s">
        <v>4672</v>
      </c>
    </row>
    <row r="2868" spans="1:19" ht="60" hidden="1" outlineLevel="1">
      <c r="B2868" s="384">
        <v>2026</v>
      </c>
      <c r="C2868" s="384">
        <v>4</v>
      </c>
      <c r="D2868" s="367" t="s">
        <v>5</v>
      </c>
      <c r="E2868" s="367" t="s">
        <v>6</v>
      </c>
      <c r="F2868" s="389" t="s">
        <v>4673</v>
      </c>
      <c r="G2868" s="385">
        <v>45946</v>
      </c>
      <c r="H2868" s="367" t="s">
        <v>14</v>
      </c>
      <c r="I2868" s="368" t="str">
        <f>VLOOKUP(H2868,'Source Codes'!A$2:B$115,2,FALSE)</f>
        <v>AP Warrant Issuance</v>
      </c>
      <c r="J2868" s="422">
        <v>-5852975.3700000001</v>
      </c>
      <c r="K2868" s="385">
        <v>45944</v>
      </c>
      <c r="L2868" s="369" t="s">
        <v>4679</v>
      </c>
      <c r="M2868" s="390">
        <v>45944.757685185185</v>
      </c>
      <c r="N2868" s="366" t="s">
        <v>356</v>
      </c>
      <c r="O2868" s="367" t="s">
        <v>364</v>
      </c>
      <c r="P2868" s="368" t="str">
        <f t="shared" ref="P2868:P2872" si="62">IF(J2868&gt;0,"Revenue",IF(J2868&lt;0,"Expense"))</f>
        <v>Expense</v>
      </c>
      <c r="Q2868" s="366" t="s">
        <v>2254</v>
      </c>
      <c r="R2868" s="365">
        <v>45931</v>
      </c>
      <c r="S2868" s="366">
        <v>530440</v>
      </c>
    </row>
    <row r="2869" spans="1:19" ht="60" hidden="1" outlineLevel="1">
      <c r="B2869" s="384">
        <v>2026</v>
      </c>
      <c r="C2869" s="384">
        <v>4</v>
      </c>
      <c r="D2869" s="367" t="s">
        <v>5</v>
      </c>
      <c r="E2869" s="367" t="s">
        <v>6</v>
      </c>
      <c r="F2869" s="389" t="s">
        <v>4674</v>
      </c>
      <c r="G2869" s="385">
        <v>45944</v>
      </c>
      <c r="H2869" s="367" t="s">
        <v>14</v>
      </c>
      <c r="I2869" s="368" t="str">
        <f>VLOOKUP(H2869,'Source Codes'!A$2:B$115,2,FALSE)</f>
        <v>AP Warrant Issuance</v>
      </c>
      <c r="J2869" s="422">
        <v>-3965698.07</v>
      </c>
      <c r="K2869" s="385">
        <v>45944</v>
      </c>
      <c r="L2869" s="369" t="s">
        <v>4678</v>
      </c>
      <c r="M2869" s="390">
        <v>45944.757685185185</v>
      </c>
      <c r="N2869" s="366" t="s">
        <v>361</v>
      </c>
      <c r="O2869" s="367" t="s">
        <v>363</v>
      </c>
      <c r="P2869" s="368" t="str">
        <f t="shared" si="62"/>
        <v>Expense</v>
      </c>
      <c r="Q2869" s="366" t="s">
        <v>2446</v>
      </c>
      <c r="R2869" s="366" t="s">
        <v>4680</v>
      </c>
      <c r="S2869" s="366">
        <v>208100</v>
      </c>
    </row>
    <row r="2870" spans="1:19" ht="45" hidden="1" outlineLevel="1">
      <c r="B2870" s="384">
        <v>2026</v>
      </c>
      <c r="C2870" s="384">
        <v>4</v>
      </c>
      <c r="D2870" s="367" t="s">
        <v>5</v>
      </c>
      <c r="E2870" s="367" t="s">
        <v>6</v>
      </c>
      <c r="F2870" s="389" t="s">
        <v>4675</v>
      </c>
      <c r="G2870" s="385">
        <v>45946</v>
      </c>
      <c r="H2870" s="367" t="s">
        <v>14</v>
      </c>
      <c r="I2870" s="368" t="str">
        <f>VLOOKUP(H2870,'Source Codes'!A$2:B$115,2,FALSE)</f>
        <v>AP Warrant Issuance</v>
      </c>
      <c r="J2870" s="422">
        <v>-1477296.89</v>
      </c>
      <c r="K2870" s="385">
        <v>45944</v>
      </c>
      <c r="L2870" s="369" t="s">
        <v>4681</v>
      </c>
      <c r="M2870" s="390">
        <v>45944.757685185185</v>
      </c>
      <c r="N2870" s="366" t="s">
        <v>356</v>
      </c>
      <c r="O2870" s="367" t="s">
        <v>357</v>
      </c>
      <c r="P2870" s="368" t="str">
        <f t="shared" si="62"/>
        <v>Expense</v>
      </c>
      <c r="Q2870" s="366" t="s">
        <v>2309</v>
      </c>
      <c r="R2870" s="366" t="s">
        <v>2310</v>
      </c>
      <c r="S2870" s="366">
        <v>520241</v>
      </c>
    </row>
    <row r="2871" spans="1:19" ht="45" hidden="1" outlineLevel="1">
      <c r="B2871" s="384">
        <v>2026</v>
      </c>
      <c r="C2871" s="384">
        <v>4</v>
      </c>
      <c r="D2871" s="367" t="s">
        <v>5</v>
      </c>
      <c r="E2871" s="367" t="s">
        <v>6</v>
      </c>
      <c r="F2871" s="389" t="s">
        <v>4676</v>
      </c>
      <c r="G2871" s="385">
        <v>45944</v>
      </c>
      <c r="H2871" s="367" t="s">
        <v>14</v>
      </c>
      <c r="I2871" s="368" t="str">
        <f>VLOOKUP(H2871,'Source Codes'!A$2:B$115,2,FALSE)</f>
        <v>AP Warrant Issuance</v>
      </c>
      <c r="J2871" s="422">
        <v>-1415562.87</v>
      </c>
      <c r="K2871" s="385">
        <v>45944</v>
      </c>
      <c r="L2871" s="369" t="s">
        <v>4682</v>
      </c>
      <c r="M2871" s="390">
        <v>45944.757685185185</v>
      </c>
      <c r="N2871" s="366" t="s">
        <v>356</v>
      </c>
      <c r="O2871" s="367" t="s">
        <v>357</v>
      </c>
      <c r="P2871" s="368" t="str">
        <f t="shared" si="62"/>
        <v>Expense</v>
      </c>
      <c r="Q2871" s="366" t="s">
        <v>2309</v>
      </c>
      <c r="R2871" s="366" t="s">
        <v>2310</v>
      </c>
      <c r="S2871" s="366">
        <v>542060</v>
      </c>
    </row>
    <row r="2872" spans="1:19" ht="45" hidden="1" outlineLevel="1">
      <c r="B2872" s="384">
        <v>2026</v>
      </c>
      <c r="C2872" s="384">
        <v>4</v>
      </c>
      <c r="D2872" s="367" t="s">
        <v>5</v>
      </c>
      <c r="E2872" s="367" t="s">
        <v>6</v>
      </c>
      <c r="F2872" s="389" t="s">
        <v>4677</v>
      </c>
      <c r="G2872" s="385">
        <v>45932</v>
      </c>
      <c r="H2872" s="367" t="s">
        <v>12</v>
      </c>
      <c r="I2872" s="368" t="str">
        <f>VLOOKUP(H2872,'Source Codes'!A$2:B$115,2,FALSE)</f>
        <v>AR Direct Cash Journal</v>
      </c>
      <c r="J2872" s="422">
        <v>52889529.240000002</v>
      </c>
      <c r="K2872" s="385">
        <v>45944</v>
      </c>
      <c r="L2872" s="369" t="s">
        <v>4683</v>
      </c>
      <c r="M2872" s="390">
        <v>45944.75199074074</v>
      </c>
      <c r="N2872" s="366" t="s">
        <v>2185</v>
      </c>
      <c r="O2872" s="367" t="s">
        <v>368</v>
      </c>
      <c r="P2872" s="368" t="str">
        <f t="shared" si="62"/>
        <v>Revenue</v>
      </c>
      <c r="Q2872" s="366" t="s">
        <v>2177</v>
      </c>
      <c r="R2872" s="366" t="s">
        <v>2214</v>
      </c>
      <c r="S2872" s="366" t="s">
        <v>4539</v>
      </c>
    </row>
    <row r="2873" spans="1:19" ht="12.75" customHeight="1" collapsed="1">
      <c r="J2873" s="413">
        <f>SUM(J2868:J2872)</f>
        <v>40177996.040000007</v>
      </c>
    </row>
    <row r="2875" spans="1:19" ht="12.75" customHeight="1">
      <c r="A2875" s="378" t="s">
        <v>4684</v>
      </c>
    </row>
    <row r="2876" spans="1:19" ht="30" hidden="1" outlineLevel="1">
      <c r="B2876" s="384">
        <v>2026</v>
      </c>
      <c r="C2876" s="384">
        <v>4</v>
      </c>
      <c r="D2876" s="367" t="s">
        <v>5</v>
      </c>
      <c r="E2876" s="367" t="s">
        <v>6</v>
      </c>
      <c r="F2876" s="389" t="s">
        <v>4685</v>
      </c>
      <c r="G2876" s="385">
        <v>45947</v>
      </c>
      <c r="H2876" s="367" t="s">
        <v>14</v>
      </c>
      <c r="I2876" s="368" t="str">
        <f>VLOOKUP(H2876,'Source Codes'!A$2:B$115,2,FALSE)</f>
        <v>AP Warrant Issuance</v>
      </c>
      <c r="J2876" s="422">
        <v>-2064387.57</v>
      </c>
      <c r="K2876" s="385">
        <v>45945</v>
      </c>
      <c r="L2876" s="369" t="s">
        <v>4688</v>
      </c>
      <c r="M2876" s="390">
        <v>45945.758993055555</v>
      </c>
      <c r="N2876" s="366" t="s">
        <v>356</v>
      </c>
      <c r="O2876" s="367" t="s">
        <v>368</v>
      </c>
      <c r="P2876" s="368" t="str">
        <f t="shared" ref="P2876:P2881" si="63">IF(J2876&gt;0,"Revenue",IF(J2876&lt;0,"Expense"))</f>
        <v>Expense</v>
      </c>
      <c r="Q2876" s="366" t="s">
        <v>2154</v>
      </c>
      <c r="R2876" s="366" t="s">
        <v>2154</v>
      </c>
      <c r="S2876" s="366" t="s">
        <v>203</v>
      </c>
    </row>
    <row r="2877" spans="1:19" ht="30" hidden="1" outlineLevel="1">
      <c r="B2877" s="384">
        <v>2026</v>
      </c>
      <c r="C2877" s="384">
        <v>4</v>
      </c>
      <c r="D2877" s="367" t="s">
        <v>5</v>
      </c>
      <c r="E2877" s="367" t="s">
        <v>6</v>
      </c>
      <c r="F2877" s="389" t="s">
        <v>4686</v>
      </c>
      <c r="G2877" s="385">
        <v>45938</v>
      </c>
      <c r="H2877" s="367" t="s">
        <v>9</v>
      </c>
      <c r="I2877" s="368" t="str">
        <f>VLOOKUP(H2877,'Source Codes'!A$2:B$115,2,FALSE)</f>
        <v>On Line Journal Entries</v>
      </c>
      <c r="J2877" s="422">
        <v>2031094.27</v>
      </c>
      <c r="K2877" s="385">
        <v>45945</v>
      </c>
      <c r="L2877" s="369" t="s">
        <v>4687</v>
      </c>
      <c r="M2877" s="390">
        <v>45945.871493055558</v>
      </c>
      <c r="N2877" s="366" t="s">
        <v>387</v>
      </c>
      <c r="O2877" s="367" t="s">
        <v>371</v>
      </c>
      <c r="P2877" s="368" t="str">
        <f t="shared" si="63"/>
        <v>Revenue</v>
      </c>
      <c r="Q2877" s="366" t="s">
        <v>4689</v>
      </c>
      <c r="R2877" s="366" t="s">
        <v>4689</v>
      </c>
      <c r="S2877" s="366">
        <v>755520</v>
      </c>
    </row>
    <row r="2878" spans="1:19" ht="12.75" customHeight="1" collapsed="1">
      <c r="I2878" s="368"/>
      <c r="J2878" s="413">
        <f>SUM(J2876:J2877)</f>
        <v>-33293.300000000047</v>
      </c>
      <c r="P2878" s="368"/>
    </row>
    <row r="2879" spans="1:19" ht="12.75" customHeight="1">
      <c r="I2879" s="368"/>
      <c r="P2879" s="368"/>
    </row>
    <row r="2880" spans="1:19" ht="12.75" customHeight="1">
      <c r="A2880" s="378" t="s">
        <v>4690</v>
      </c>
      <c r="I2880" s="368"/>
      <c r="P2880" s="368"/>
    </row>
    <row r="2881" spans="1:19" ht="30" hidden="1" outlineLevel="1">
      <c r="B2881" s="384">
        <v>2026</v>
      </c>
      <c r="C2881" s="384">
        <v>4</v>
      </c>
      <c r="D2881" s="367" t="s">
        <v>5</v>
      </c>
      <c r="E2881" s="367" t="s">
        <v>6</v>
      </c>
      <c r="F2881" s="389" t="s">
        <v>4691</v>
      </c>
      <c r="G2881" s="385">
        <v>45946</v>
      </c>
      <c r="H2881" s="367" t="s">
        <v>11</v>
      </c>
      <c r="I2881" s="368" t="str">
        <f>VLOOKUP(H2881,'Source Codes'!A$2:B$115,2,FALSE)</f>
        <v>AR Payments</v>
      </c>
      <c r="J2881" s="422">
        <v>4577076.5599999996</v>
      </c>
      <c r="K2881" s="385">
        <v>45946</v>
      </c>
      <c r="L2881" s="369" t="s">
        <v>4692</v>
      </c>
      <c r="M2881" s="390">
        <v>45946.752129629633</v>
      </c>
      <c r="N2881" s="366" t="s">
        <v>356</v>
      </c>
      <c r="O2881" s="367" t="s">
        <v>357</v>
      </c>
      <c r="P2881" s="368" t="str">
        <f t="shared" si="63"/>
        <v>Revenue</v>
      </c>
      <c r="Q2881" s="366" t="s">
        <v>2157</v>
      </c>
      <c r="R2881" s="366" t="s">
        <v>2157</v>
      </c>
      <c r="S2881" s="366">
        <v>118501</v>
      </c>
    </row>
    <row r="2882" spans="1:19" ht="12.75" customHeight="1" collapsed="1">
      <c r="J2882" s="413">
        <f>SUM(J2881)</f>
        <v>4577076.5599999996</v>
      </c>
    </row>
    <row r="2884" spans="1:19" ht="12.75" customHeight="1">
      <c r="A2884" s="378" t="s">
        <v>4693</v>
      </c>
    </row>
    <row r="2885" spans="1:19" ht="45" hidden="1" outlineLevel="1">
      <c r="B2885" s="384">
        <v>2026</v>
      </c>
      <c r="C2885" s="384">
        <v>4</v>
      </c>
      <c r="D2885" s="367" t="s">
        <v>5</v>
      </c>
      <c r="E2885" s="367" t="s">
        <v>6</v>
      </c>
      <c r="F2885" s="389" t="s">
        <v>4694</v>
      </c>
      <c r="G2885" s="385">
        <v>45940</v>
      </c>
      <c r="H2885" s="367" t="s">
        <v>11</v>
      </c>
      <c r="I2885" s="368" t="str">
        <f>VLOOKUP(H2885,'Source Codes'!A$2:B$115,2,FALSE)</f>
        <v>AR Payments</v>
      </c>
      <c r="J2885" s="422">
        <v>5705363.0700000003</v>
      </c>
      <c r="K2885" s="385">
        <v>45947</v>
      </c>
      <c r="L2885" s="369" t="s">
        <v>4695</v>
      </c>
      <c r="M2885" s="390">
        <v>45947.751875000002</v>
      </c>
      <c r="N2885" s="366" t="s">
        <v>356</v>
      </c>
      <c r="O2885" s="367" t="s">
        <v>357</v>
      </c>
      <c r="P2885" s="368" t="s">
        <v>2290</v>
      </c>
      <c r="Q2885" s="366" t="s">
        <v>2157</v>
      </c>
      <c r="R2885" s="366" t="s">
        <v>2157</v>
      </c>
      <c r="S2885" s="366" t="s">
        <v>2278</v>
      </c>
    </row>
    <row r="2886" spans="1:19" ht="12.75" customHeight="1" collapsed="1">
      <c r="J2886" s="413">
        <f>SUM(J2885)</f>
        <v>5705363.0700000003</v>
      </c>
    </row>
    <row r="2889" spans="1:19" ht="12.75" customHeight="1">
      <c r="A2889" s="378" t="s">
        <v>4700</v>
      </c>
    </row>
    <row r="2890" spans="1:19" ht="12.75" hidden="1" customHeight="1" outlineLevel="1">
      <c r="B2890" s="384">
        <v>2026</v>
      </c>
      <c r="C2890" s="384">
        <v>4</v>
      </c>
      <c r="D2890" s="367" t="s">
        <v>5</v>
      </c>
      <c r="E2890" s="367" t="s">
        <v>6</v>
      </c>
      <c r="F2890" s="389" t="s">
        <v>4696</v>
      </c>
      <c r="G2890" s="385">
        <v>45946</v>
      </c>
      <c r="H2890" s="367" t="s">
        <v>16</v>
      </c>
      <c r="I2890" s="368" t="s">
        <v>74</v>
      </c>
      <c r="J2890" s="422">
        <v>18131548.34</v>
      </c>
      <c r="K2890" s="385">
        <v>45950</v>
      </c>
      <c r="L2890" s="369" t="s">
        <v>4701</v>
      </c>
      <c r="M2890" s="390">
        <v>45950.4140625</v>
      </c>
      <c r="N2890" s="368" t="s">
        <v>387</v>
      </c>
      <c r="O2890" s="368" t="s">
        <v>384</v>
      </c>
      <c r="P2890" s="368" t="s">
        <v>2290</v>
      </c>
      <c r="Q2890" s="366" t="s">
        <v>2311</v>
      </c>
      <c r="R2890" s="366" t="s">
        <v>4705</v>
      </c>
      <c r="S2890" s="366" t="s">
        <v>2313</v>
      </c>
    </row>
    <row r="2891" spans="1:19" ht="30" hidden="1" outlineLevel="1">
      <c r="B2891" s="384">
        <v>2026</v>
      </c>
      <c r="C2891" s="384">
        <v>4</v>
      </c>
      <c r="D2891" s="367" t="s">
        <v>5</v>
      </c>
      <c r="E2891" s="367" t="s">
        <v>6</v>
      </c>
      <c r="F2891" s="389" t="s">
        <v>4697</v>
      </c>
      <c r="G2891" s="385">
        <v>45931</v>
      </c>
      <c r="H2891" s="367" t="s">
        <v>2113</v>
      </c>
      <c r="I2891" s="368" t="s">
        <v>4496</v>
      </c>
      <c r="J2891" s="422">
        <v>-1020071.38</v>
      </c>
      <c r="K2891" s="385">
        <v>45950</v>
      </c>
      <c r="L2891" s="369" t="s">
        <v>4702</v>
      </c>
      <c r="M2891" s="390">
        <v>45950.830231481479</v>
      </c>
      <c r="N2891" s="368" t="s">
        <v>2185</v>
      </c>
      <c r="O2891" s="368" t="s">
        <v>366</v>
      </c>
      <c r="P2891" s="368" t="s">
        <v>2613</v>
      </c>
      <c r="Q2891" s="366" t="s">
        <v>379</v>
      </c>
      <c r="R2891" s="365" t="s">
        <v>4579</v>
      </c>
      <c r="S2891" s="366">
        <v>515040</v>
      </c>
    </row>
    <row r="2892" spans="1:19" ht="12.75" hidden="1" customHeight="1" outlineLevel="1">
      <c r="B2892" s="384">
        <v>2026</v>
      </c>
      <c r="C2892" s="384">
        <v>4</v>
      </c>
      <c r="D2892" s="367" t="s">
        <v>5</v>
      </c>
      <c r="E2892" s="367" t="s">
        <v>6</v>
      </c>
      <c r="F2892" s="389" t="s">
        <v>4698</v>
      </c>
      <c r="G2892" s="385">
        <v>45938</v>
      </c>
      <c r="H2892" s="367" t="s">
        <v>337</v>
      </c>
      <c r="I2892" s="368" t="str">
        <f>VLOOKUP(H2892,'Source Codes'!A$2:B$115,2,FALSE)</f>
        <v>Facilities Mngmnt Intfc Jrnls</v>
      </c>
      <c r="J2892" s="422">
        <v>-1175593.8600000001</v>
      </c>
      <c r="K2892" s="385">
        <v>45950</v>
      </c>
      <c r="L2892" s="369" t="s">
        <v>4703</v>
      </c>
      <c r="M2892" s="390">
        <v>45950.827962962961</v>
      </c>
      <c r="N2892" s="368" t="s">
        <v>359</v>
      </c>
      <c r="O2892" s="367" t="s">
        <v>367</v>
      </c>
      <c r="P2892" s="368" t="s">
        <v>2613</v>
      </c>
      <c r="Q2892" s="366" t="s">
        <v>2337</v>
      </c>
      <c r="R2892" s="366" t="s">
        <v>4706</v>
      </c>
      <c r="S2892" s="366">
        <v>522365</v>
      </c>
    </row>
    <row r="2893" spans="1:19" ht="12.75" hidden="1" customHeight="1" outlineLevel="1">
      <c r="B2893" s="384">
        <v>2026</v>
      </c>
      <c r="C2893" s="384">
        <v>4</v>
      </c>
      <c r="D2893" s="367" t="s">
        <v>5</v>
      </c>
      <c r="E2893" s="367" t="s">
        <v>6</v>
      </c>
      <c r="F2893" s="389" t="s">
        <v>4699</v>
      </c>
      <c r="G2893" s="385">
        <v>45938</v>
      </c>
      <c r="H2893" s="367" t="s">
        <v>337</v>
      </c>
      <c r="I2893" s="368" t="str">
        <f>VLOOKUP(H2893,'Source Codes'!A$2:B$115,2,FALSE)</f>
        <v>Facilities Mngmnt Intfc Jrnls</v>
      </c>
      <c r="J2893" s="422">
        <v>-2721515.43</v>
      </c>
      <c r="K2893" s="385">
        <v>45950</v>
      </c>
      <c r="L2893" s="369" t="s">
        <v>4704</v>
      </c>
      <c r="M2893" s="390">
        <v>45950.825891203705</v>
      </c>
      <c r="N2893" s="368" t="s">
        <v>359</v>
      </c>
      <c r="O2893" s="367" t="s">
        <v>367</v>
      </c>
      <c r="P2893" s="368" t="s">
        <v>2613</v>
      </c>
      <c r="Q2893" s="366" t="s">
        <v>2337</v>
      </c>
      <c r="R2893" s="366" t="s">
        <v>4707</v>
      </c>
      <c r="S2893" s="366">
        <v>522385</v>
      </c>
    </row>
    <row r="2894" spans="1:19" ht="12.75" customHeight="1" collapsed="1">
      <c r="J2894" s="413">
        <f>SUM(J2890:J2893)</f>
        <v>13214367.670000002</v>
      </c>
    </row>
    <row r="2896" spans="1:19" ht="12.75" customHeight="1">
      <c r="A2896" s="378" t="s">
        <v>4708</v>
      </c>
    </row>
    <row r="2897" spans="1:19" ht="30" hidden="1" outlineLevel="1">
      <c r="B2897" s="384">
        <v>2026</v>
      </c>
      <c r="C2897" s="384">
        <v>4</v>
      </c>
      <c r="D2897" s="367" t="s">
        <v>5</v>
      </c>
      <c r="E2897" s="367" t="s">
        <v>6</v>
      </c>
      <c r="F2897" s="389" t="s">
        <v>4709</v>
      </c>
      <c r="G2897" s="385">
        <v>45951</v>
      </c>
      <c r="H2897" s="367" t="s">
        <v>8</v>
      </c>
      <c r="I2897" s="368" t="str">
        <f>VLOOKUP(H2897,'Source Codes'!A$2:B$115,2,FALSE)</f>
        <v>Prch,Cntrl Mail,Flt,Prntg,Sply</v>
      </c>
      <c r="J2897" s="422">
        <v>-2316791.36</v>
      </c>
      <c r="K2897" s="385">
        <v>45951</v>
      </c>
      <c r="L2897" s="369" t="s">
        <v>4712</v>
      </c>
      <c r="M2897" s="390">
        <v>45951.629421296297</v>
      </c>
      <c r="N2897" s="368" t="s">
        <v>359</v>
      </c>
      <c r="O2897" s="367" t="s">
        <v>382</v>
      </c>
      <c r="P2897" s="368" t="s">
        <v>2613</v>
      </c>
      <c r="Q2897" s="366" t="s">
        <v>2328</v>
      </c>
      <c r="R2897" s="366" t="s">
        <v>4713</v>
      </c>
      <c r="S2897" s="366" t="s">
        <v>2535</v>
      </c>
    </row>
    <row r="2898" spans="1:19" ht="15" hidden="1" outlineLevel="1">
      <c r="B2898" s="384">
        <v>2026</v>
      </c>
      <c r="C2898" s="384">
        <v>4</v>
      </c>
      <c r="D2898" s="367" t="s">
        <v>5</v>
      </c>
      <c r="E2898" s="367" t="s">
        <v>6</v>
      </c>
      <c r="F2898" s="389" t="s">
        <v>4710</v>
      </c>
      <c r="G2898" s="385">
        <v>45945</v>
      </c>
      <c r="H2898" s="367" t="s">
        <v>7</v>
      </c>
      <c r="I2898" s="368" t="str">
        <f>VLOOKUP(H2898,'Source Codes'!A$2:B$115,2,FALSE)</f>
        <v>HRMS Interface Journals</v>
      </c>
      <c r="J2898" s="422">
        <v>-10190143.869999999</v>
      </c>
      <c r="K2898" s="385">
        <v>45951</v>
      </c>
      <c r="L2898" s="369" t="s">
        <v>407</v>
      </c>
      <c r="M2898" s="390">
        <v>45951.481574074074</v>
      </c>
      <c r="N2898" s="366" t="s">
        <v>378</v>
      </c>
      <c r="O2898" s="367" t="s">
        <v>379</v>
      </c>
      <c r="P2898" s="368" t="s">
        <v>2613</v>
      </c>
      <c r="Q2898" s="366" t="s">
        <v>379</v>
      </c>
      <c r="R2898" s="366" t="s">
        <v>4714</v>
      </c>
      <c r="S2898" s="366" t="s">
        <v>203</v>
      </c>
    </row>
    <row r="2899" spans="1:19" ht="15" hidden="1" outlineLevel="1">
      <c r="B2899" s="384">
        <v>2026</v>
      </c>
      <c r="C2899" s="384">
        <v>4</v>
      </c>
      <c r="D2899" s="367" t="s">
        <v>5</v>
      </c>
      <c r="E2899" s="367" t="s">
        <v>6</v>
      </c>
      <c r="F2899" s="389" t="s">
        <v>4711</v>
      </c>
      <c r="G2899" s="385">
        <v>45945</v>
      </c>
      <c r="H2899" s="367" t="s">
        <v>7</v>
      </c>
      <c r="I2899" s="368" t="str">
        <f>VLOOKUP(H2899,'Source Codes'!A$2:B$115,2,FALSE)</f>
        <v>HRMS Interface Journals</v>
      </c>
      <c r="J2899" s="422">
        <v>-73156800.430000007</v>
      </c>
      <c r="K2899" s="385">
        <v>45951</v>
      </c>
      <c r="L2899" s="369" t="s">
        <v>406</v>
      </c>
      <c r="M2899" s="390">
        <v>45951.484525462962</v>
      </c>
      <c r="N2899" s="366" t="s">
        <v>378</v>
      </c>
      <c r="O2899" s="367" t="s">
        <v>371</v>
      </c>
      <c r="P2899" s="368" t="s">
        <v>2613</v>
      </c>
      <c r="Q2899" s="366" t="s">
        <v>379</v>
      </c>
      <c r="R2899" s="366" t="s">
        <v>4714</v>
      </c>
      <c r="S2899" s="366" t="s">
        <v>203</v>
      </c>
    </row>
    <row r="2900" spans="1:19" ht="12.75" customHeight="1" collapsed="1">
      <c r="J2900" s="413">
        <f>SUM(J2897:J2899)</f>
        <v>-85663735.660000011</v>
      </c>
    </row>
    <row r="2902" spans="1:19" ht="12.75" customHeight="1">
      <c r="A2902" s="378" t="s">
        <v>4715</v>
      </c>
    </row>
    <row r="2903" spans="1:19" ht="30" hidden="1" outlineLevel="1">
      <c r="B2903" s="384">
        <v>2026</v>
      </c>
      <c r="C2903" s="384">
        <v>4</v>
      </c>
      <c r="D2903" s="367" t="s">
        <v>5</v>
      </c>
      <c r="E2903" s="367" t="s">
        <v>6</v>
      </c>
      <c r="F2903" s="389" t="s">
        <v>4716</v>
      </c>
      <c r="G2903" s="385">
        <v>45950</v>
      </c>
      <c r="H2903" s="367" t="s">
        <v>12</v>
      </c>
      <c r="I2903" s="368" t="str">
        <f>VLOOKUP(H2903,'Source Codes'!A$2:B$115,2,FALSE)</f>
        <v>AR Direct Cash Journal</v>
      </c>
      <c r="J2903" s="422">
        <v>100000000</v>
      </c>
      <c r="K2903" s="385">
        <v>45952</v>
      </c>
      <c r="L2903" s="369" t="s">
        <v>4723</v>
      </c>
      <c r="M2903" s="390">
        <v>45952.752314814818</v>
      </c>
      <c r="N2903" s="368" t="s">
        <v>377</v>
      </c>
      <c r="O2903" s="368" t="s">
        <v>358</v>
      </c>
      <c r="P2903" s="368" t="str">
        <f t="shared" ref="P2903" si="64">IF(J2903&gt;0,"Revenue",IF(J2903&lt;0,"Expense"))</f>
        <v>Revenue</v>
      </c>
      <c r="Q2903" s="366" t="s">
        <v>2512</v>
      </c>
      <c r="R2903" s="365" t="s">
        <v>4724</v>
      </c>
      <c r="S2903" s="366">
        <v>101500</v>
      </c>
    </row>
    <row r="2904" spans="1:19" ht="60" hidden="1" outlineLevel="1">
      <c r="B2904" s="384">
        <v>2026</v>
      </c>
      <c r="C2904" s="384">
        <v>4</v>
      </c>
      <c r="D2904" s="367" t="s">
        <v>5</v>
      </c>
      <c r="E2904" s="367" t="s">
        <v>6</v>
      </c>
      <c r="F2904" s="389" t="s">
        <v>4717</v>
      </c>
      <c r="G2904" s="385">
        <v>45952</v>
      </c>
      <c r="H2904" s="367" t="s">
        <v>11</v>
      </c>
      <c r="I2904" s="368" t="str">
        <f>VLOOKUP(H2904,'Source Codes'!A$2:B$115,2,FALSE)</f>
        <v>AR Payments</v>
      </c>
      <c r="J2904" s="422">
        <v>1455961.1</v>
      </c>
      <c r="K2904" s="385">
        <v>45952</v>
      </c>
      <c r="L2904" s="369" t="s">
        <v>4725</v>
      </c>
      <c r="M2904" s="390">
        <v>45952.752314814818</v>
      </c>
      <c r="N2904" s="366" t="s">
        <v>356</v>
      </c>
      <c r="O2904" s="367" t="s">
        <v>357</v>
      </c>
      <c r="P2904" s="368" t="s">
        <v>2290</v>
      </c>
      <c r="Q2904" s="366" t="s">
        <v>2157</v>
      </c>
      <c r="R2904" s="366" t="s">
        <v>2157</v>
      </c>
      <c r="S2904" s="366" t="s">
        <v>2546</v>
      </c>
    </row>
    <row r="2905" spans="1:19" ht="30" hidden="1" outlineLevel="1">
      <c r="B2905" s="384">
        <v>2026</v>
      </c>
      <c r="C2905" s="384">
        <v>4</v>
      </c>
      <c r="D2905" s="367" t="s">
        <v>5</v>
      </c>
      <c r="E2905" s="367" t="s">
        <v>6</v>
      </c>
      <c r="F2905" s="389" t="s">
        <v>4718</v>
      </c>
      <c r="G2905" s="385">
        <v>45944</v>
      </c>
      <c r="H2905" s="367" t="s">
        <v>9</v>
      </c>
      <c r="I2905" s="368" t="str">
        <f>VLOOKUP(H2905,'Source Codes'!A$2:B$115,2,FALSE)</f>
        <v>On Line Journal Entries</v>
      </c>
      <c r="J2905" s="422">
        <v>4352467</v>
      </c>
      <c r="K2905" s="385">
        <v>45952</v>
      </c>
      <c r="L2905" s="369" t="s">
        <v>4721</v>
      </c>
      <c r="M2905" s="390">
        <v>45952.638657407406</v>
      </c>
      <c r="N2905" s="368" t="s">
        <v>359</v>
      </c>
      <c r="O2905" s="367" t="s">
        <v>369</v>
      </c>
      <c r="P2905" s="368" t="s">
        <v>2290</v>
      </c>
      <c r="Q2905" s="366" t="s">
        <v>2268</v>
      </c>
      <c r="R2905" s="365">
        <v>45955</v>
      </c>
      <c r="S2905" s="366" t="s">
        <v>4726</v>
      </c>
    </row>
    <row r="2906" spans="1:19" ht="15" hidden="1" outlineLevel="1">
      <c r="B2906" s="384">
        <v>2026</v>
      </c>
      <c r="C2906" s="384">
        <v>4</v>
      </c>
      <c r="D2906" s="367" t="s">
        <v>5</v>
      </c>
      <c r="E2906" s="367" t="s">
        <v>6</v>
      </c>
      <c r="F2906" s="389" t="s">
        <v>4719</v>
      </c>
      <c r="G2906" s="385">
        <v>45951</v>
      </c>
      <c r="H2906" s="367" t="s">
        <v>9</v>
      </c>
      <c r="I2906" s="368" t="str">
        <f>VLOOKUP(H2906,'Source Codes'!A$2:B$115,2,FALSE)</f>
        <v>On Line Journal Entries</v>
      </c>
      <c r="J2906" s="422">
        <v>-1542083</v>
      </c>
      <c r="K2906" s="385">
        <v>45952</v>
      </c>
      <c r="L2906" s="369" t="s">
        <v>4722</v>
      </c>
      <c r="M2906" s="390">
        <v>45952.871435185189</v>
      </c>
      <c r="N2906" s="368" t="s">
        <v>359</v>
      </c>
      <c r="O2906" s="367" t="s">
        <v>368</v>
      </c>
      <c r="P2906" s="368" t="s">
        <v>2613</v>
      </c>
      <c r="Q2906" s="366" t="s">
        <v>2219</v>
      </c>
      <c r="R2906" s="366" t="s">
        <v>4727</v>
      </c>
      <c r="S2906" s="366">
        <v>530280</v>
      </c>
    </row>
    <row r="2907" spans="1:19" ht="15" hidden="1" outlineLevel="1">
      <c r="B2907" s="384">
        <v>2026</v>
      </c>
      <c r="C2907" s="384">
        <v>4</v>
      </c>
      <c r="D2907" s="367" t="s">
        <v>5</v>
      </c>
      <c r="E2907" s="367" t="s">
        <v>6</v>
      </c>
      <c r="F2907" s="389" t="s">
        <v>4720</v>
      </c>
      <c r="G2907" s="385">
        <v>45945</v>
      </c>
      <c r="H2907" s="367" t="s">
        <v>7</v>
      </c>
      <c r="I2907" s="368" t="str">
        <f>VLOOKUP(H2907,'Source Codes'!A$2:B$115,2,FALSE)</f>
        <v>HRMS Interface Journals</v>
      </c>
      <c r="J2907" s="422">
        <v>-2457717.81</v>
      </c>
      <c r="K2907" s="385">
        <v>45952</v>
      </c>
      <c r="L2907" s="369" t="s">
        <v>409</v>
      </c>
      <c r="M2907" s="390">
        <v>45952.340115740742</v>
      </c>
      <c r="N2907" s="366" t="s">
        <v>378</v>
      </c>
      <c r="O2907" s="367" t="s">
        <v>379</v>
      </c>
      <c r="P2907" s="368" t="s">
        <v>2613</v>
      </c>
      <c r="Q2907" s="366" t="s">
        <v>379</v>
      </c>
      <c r="R2907" s="366" t="s">
        <v>4714</v>
      </c>
      <c r="S2907" s="366">
        <v>513120</v>
      </c>
    </row>
    <row r="2908" spans="1:19" ht="12.75" customHeight="1" collapsed="1">
      <c r="B2908" s="396"/>
      <c r="C2908" s="396"/>
      <c r="J2908" s="413">
        <f>SUM(J2903:J2907)</f>
        <v>101808627.28999999</v>
      </c>
    </row>
    <row r="2909" spans="1:19" ht="12.75" customHeight="1">
      <c r="B2909" s="396"/>
      <c r="C2909" s="396"/>
    </row>
    <row r="2910" spans="1:19" ht="12.75" customHeight="1">
      <c r="A2910" s="378" t="s">
        <v>4729</v>
      </c>
    </row>
    <row r="2911" spans="1:19" ht="30" hidden="1" outlineLevel="1">
      <c r="B2911" s="384">
        <v>2026</v>
      </c>
      <c r="C2911" s="384">
        <v>4</v>
      </c>
      <c r="D2911" s="367" t="s">
        <v>5</v>
      </c>
      <c r="E2911" s="367" t="s">
        <v>6</v>
      </c>
      <c r="F2911" s="389" t="s">
        <v>4730</v>
      </c>
      <c r="G2911" s="385">
        <v>45957</v>
      </c>
      <c r="H2911" s="367" t="s">
        <v>14</v>
      </c>
      <c r="I2911" s="368" t="str">
        <f>VLOOKUP(H2911,'Source Codes'!A$2:B$115,2,FALSE)</f>
        <v>AP Warrant Issuance</v>
      </c>
      <c r="J2911" s="422">
        <v>-3483527.1</v>
      </c>
      <c r="K2911" s="385">
        <v>45953</v>
      </c>
      <c r="L2911" s="369" t="s">
        <v>4748</v>
      </c>
      <c r="M2911" s="390">
        <v>45953.763136574074</v>
      </c>
      <c r="N2911" s="366" t="s">
        <v>356</v>
      </c>
      <c r="O2911" s="367" t="s">
        <v>368</v>
      </c>
      <c r="P2911" s="368" t="str">
        <f t="shared" ref="P2911:P2921" si="65">IF(J2911&gt;0,"Revenue",IF(J2911&lt;0,"Expense"))</f>
        <v>Expense</v>
      </c>
      <c r="Q2911" s="366" t="s">
        <v>2154</v>
      </c>
      <c r="R2911" s="366" t="s">
        <v>2154</v>
      </c>
      <c r="S2911" s="366" t="s">
        <v>203</v>
      </c>
    </row>
    <row r="2912" spans="1:19" ht="30" hidden="1" outlineLevel="1">
      <c r="B2912" s="384">
        <v>2026</v>
      </c>
      <c r="C2912" s="384">
        <v>4</v>
      </c>
      <c r="D2912" s="367" t="s">
        <v>5</v>
      </c>
      <c r="E2912" s="367" t="s">
        <v>6</v>
      </c>
      <c r="F2912" s="389" t="s">
        <v>4731</v>
      </c>
      <c r="G2912" s="385">
        <v>45953</v>
      </c>
      <c r="H2912" s="367" t="s">
        <v>14</v>
      </c>
      <c r="I2912" s="368" t="str">
        <f>VLOOKUP(H2912,'Source Codes'!A$2:B$115,2,FALSE)</f>
        <v>AP Warrant Issuance</v>
      </c>
      <c r="J2912" s="422">
        <v>-2620936.21</v>
      </c>
      <c r="K2912" s="385">
        <v>45953</v>
      </c>
      <c r="L2912" s="369" t="s">
        <v>4749</v>
      </c>
      <c r="M2912" s="390">
        <v>45953.763136574074</v>
      </c>
      <c r="N2912" s="366" t="s">
        <v>356</v>
      </c>
      <c r="O2912" s="367" t="s">
        <v>368</v>
      </c>
      <c r="P2912" s="368" t="str">
        <f t="shared" si="65"/>
        <v>Expense</v>
      </c>
      <c r="Q2912" s="366" t="s">
        <v>2154</v>
      </c>
      <c r="R2912" s="366" t="s">
        <v>2154</v>
      </c>
      <c r="S2912" s="366" t="s">
        <v>203</v>
      </c>
    </row>
    <row r="2913" spans="1:19" ht="30" hidden="1" outlineLevel="1">
      <c r="B2913" s="384">
        <v>2026</v>
      </c>
      <c r="C2913" s="384">
        <v>4</v>
      </c>
      <c r="D2913" s="367" t="s">
        <v>5</v>
      </c>
      <c r="E2913" s="367" t="s">
        <v>6</v>
      </c>
      <c r="F2913" s="389" t="s">
        <v>4732</v>
      </c>
      <c r="G2913" s="385">
        <v>45953</v>
      </c>
      <c r="H2913" s="367" t="s">
        <v>14</v>
      </c>
      <c r="I2913" s="368" t="str">
        <f>VLOOKUP(H2913,'Source Codes'!A$2:B$115,2,FALSE)</f>
        <v>AP Warrant Issuance</v>
      </c>
      <c r="J2913" s="422">
        <v>-1568666.75</v>
      </c>
      <c r="K2913" s="385">
        <v>45953</v>
      </c>
      <c r="L2913" s="369" t="s">
        <v>4750</v>
      </c>
      <c r="M2913" s="390">
        <v>45953.763136574074</v>
      </c>
      <c r="N2913" s="366" t="s">
        <v>356</v>
      </c>
      <c r="O2913" s="367" t="s">
        <v>357</v>
      </c>
      <c r="P2913" s="368" t="str">
        <f t="shared" si="65"/>
        <v>Expense</v>
      </c>
      <c r="Q2913" s="366" t="s">
        <v>2309</v>
      </c>
      <c r="R2913" s="366" t="s">
        <v>2310</v>
      </c>
      <c r="S2913" s="366" t="s">
        <v>203</v>
      </c>
    </row>
    <row r="2914" spans="1:19" ht="30" hidden="1" outlineLevel="1">
      <c r="B2914" s="384">
        <v>2026</v>
      </c>
      <c r="C2914" s="384">
        <v>4</v>
      </c>
      <c r="D2914" s="367" t="s">
        <v>5</v>
      </c>
      <c r="E2914" s="367" t="s">
        <v>6</v>
      </c>
      <c r="F2914" s="389" t="s">
        <v>4733</v>
      </c>
      <c r="G2914" s="385">
        <v>45947</v>
      </c>
      <c r="H2914" s="367" t="s">
        <v>12</v>
      </c>
      <c r="I2914" s="368" t="str">
        <f>VLOOKUP(H2914,'Source Codes'!A$2:B$115,2,FALSE)</f>
        <v>AR Direct Cash Journal</v>
      </c>
      <c r="J2914" s="422">
        <v>3188089.38</v>
      </c>
      <c r="K2914" s="385">
        <v>45953</v>
      </c>
      <c r="L2914" s="369" t="s">
        <v>4751</v>
      </c>
      <c r="M2914" s="390">
        <v>45953.752013888887</v>
      </c>
      <c r="N2914" s="366" t="s">
        <v>2185</v>
      </c>
      <c r="O2914" s="367" t="s">
        <v>385</v>
      </c>
      <c r="P2914" s="368" t="str">
        <f t="shared" si="65"/>
        <v>Revenue</v>
      </c>
      <c r="Q2914" s="366" t="s">
        <v>2757</v>
      </c>
      <c r="R2914" s="366" t="s">
        <v>2715</v>
      </c>
      <c r="S2914" s="366" t="s">
        <v>4752</v>
      </c>
    </row>
    <row r="2915" spans="1:19" ht="30" hidden="1" outlineLevel="1">
      <c r="B2915" s="384">
        <v>2026</v>
      </c>
      <c r="C2915" s="384">
        <v>4</v>
      </c>
      <c r="D2915" s="367" t="s">
        <v>5</v>
      </c>
      <c r="E2915" s="367" t="s">
        <v>6</v>
      </c>
      <c r="F2915" s="389" t="s">
        <v>4734</v>
      </c>
      <c r="G2915" s="385">
        <v>45946</v>
      </c>
      <c r="H2915" s="367" t="s">
        <v>16</v>
      </c>
      <c r="I2915" s="368" t="str">
        <f>VLOOKUP(H2915,'Source Codes'!A$2:B$115,2,FALSE)</f>
        <v>Property Tax Interface</v>
      </c>
      <c r="J2915" s="422">
        <v>8572700.2799999993</v>
      </c>
      <c r="K2915" s="385">
        <v>45953</v>
      </c>
      <c r="L2915" s="369" t="s">
        <v>4741</v>
      </c>
      <c r="M2915" s="390">
        <v>45953.45621527778</v>
      </c>
      <c r="N2915" s="366" t="s">
        <v>387</v>
      </c>
      <c r="O2915" s="367" t="s">
        <v>384</v>
      </c>
      <c r="P2915" s="368" t="str">
        <f t="shared" si="65"/>
        <v>Revenue</v>
      </c>
      <c r="Q2915" s="366" t="s">
        <v>2199</v>
      </c>
      <c r="R2915" s="366" t="s">
        <v>4753</v>
      </c>
      <c r="S2915" s="366" t="s">
        <v>4754</v>
      </c>
    </row>
    <row r="2916" spans="1:19" ht="15" hidden="1" outlineLevel="1">
      <c r="B2916" s="384">
        <v>2026</v>
      </c>
      <c r="C2916" s="384">
        <v>4</v>
      </c>
      <c r="D2916" s="367" t="s">
        <v>5</v>
      </c>
      <c r="E2916" s="367" t="s">
        <v>6</v>
      </c>
      <c r="F2916" s="389" t="s">
        <v>4735</v>
      </c>
      <c r="G2916" s="385">
        <v>45931</v>
      </c>
      <c r="H2916" s="367" t="s">
        <v>9</v>
      </c>
      <c r="I2916" s="368" t="str">
        <f>VLOOKUP(H2916,'Source Codes'!A$2:B$115,2,FALSE)</f>
        <v>On Line Journal Entries</v>
      </c>
      <c r="J2916" s="422">
        <v>-1712372.49</v>
      </c>
      <c r="K2916" s="385">
        <v>45953</v>
      </c>
      <c r="L2916" s="369" t="s">
        <v>4742</v>
      </c>
      <c r="M2916" s="390">
        <v>45953.871562499997</v>
      </c>
      <c r="N2916" s="366" t="s">
        <v>356</v>
      </c>
      <c r="O2916" s="367" t="s">
        <v>373</v>
      </c>
      <c r="P2916" s="368" t="str">
        <f t="shared" si="65"/>
        <v>Expense</v>
      </c>
      <c r="Q2916" s="366" t="s">
        <v>2476</v>
      </c>
      <c r="R2916" s="366" t="s">
        <v>4755</v>
      </c>
      <c r="S2916" s="366">
        <v>520945</v>
      </c>
    </row>
    <row r="2917" spans="1:19" ht="15" hidden="1" outlineLevel="1">
      <c r="B2917" s="384">
        <v>2026</v>
      </c>
      <c r="C2917" s="384">
        <v>4</v>
      </c>
      <c r="D2917" s="367" t="s">
        <v>5</v>
      </c>
      <c r="E2917" s="367" t="s">
        <v>6</v>
      </c>
      <c r="F2917" s="389" t="s">
        <v>4736</v>
      </c>
      <c r="G2917" s="385">
        <v>45931</v>
      </c>
      <c r="H2917" s="367" t="s">
        <v>9</v>
      </c>
      <c r="I2917" s="368" t="str">
        <f>VLOOKUP(H2917,'Source Codes'!A$2:B$115,2,FALSE)</f>
        <v>On Line Journal Entries</v>
      </c>
      <c r="J2917" s="422">
        <v>-4444115.4000000004</v>
      </c>
      <c r="K2917" s="385">
        <v>45953</v>
      </c>
      <c r="L2917" s="369" t="s">
        <v>4743</v>
      </c>
      <c r="M2917" s="390">
        <v>45953.871562499997</v>
      </c>
      <c r="N2917" s="366" t="s">
        <v>356</v>
      </c>
      <c r="O2917" s="367" t="s">
        <v>373</v>
      </c>
      <c r="P2917" s="368" t="str">
        <f t="shared" si="65"/>
        <v>Expense</v>
      </c>
      <c r="Q2917" s="366" t="s">
        <v>2517</v>
      </c>
      <c r="R2917" s="366" t="s">
        <v>4756</v>
      </c>
      <c r="S2917" s="366">
        <v>517000</v>
      </c>
    </row>
    <row r="2918" spans="1:19" ht="30" hidden="1" outlineLevel="1">
      <c r="B2918" s="384">
        <v>2026</v>
      </c>
      <c r="C2918" s="384">
        <v>4</v>
      </c>
      <c r="D2918" s="367" t="s">
        <v>5</v>
      </c>
      <c r="E2918" s="367" t="s">
        <v>6</v>
      </c>
      <c r="F2918" s="389" t="s">
        <v>4737</v>
      </c>
      <c r="G2918" s="385">
        <v>45931</v>
      </c>
      <c r="H2918" s="367" t="s">
        <v>9</v>
      </c>
      <c r="I2918" s="368" t="str">
        <f>VLOOKUP(H2918,'Source Codes'!A$2:B$115,2,FALSE)</f>
        <v>On Line Journal Entries</v>
      </c>
      <c r="J2918" s="422">
        <v>-5535427.9900000002</v>
      </c>
      <c r="K2918" s="385">
        <v>45953</v>
      </c>
      <c r="L2918" s="369" t="s">
        <v>4744</v>
      </c>
      <c r="M2918" s="390">
        <v>45953.871562499997</v>
      </c>
      <c r="N2918" s="366" t="s">
        <v>359</v>
      </c>
      <c r="O2918" s="367" t="s">
        <v>374</v>
      </c>
      <c r="P2918" s="368" t="str">
        <f t="shared" si="65"/>
        <v>Expense</v>
      </c>
      <c r="Q2918" s="366" t="s">
        <v>2202</v>
      </c>
      <c r="R2918" s="366" t="s">
        <v>4757</v>
      </c>
      <c r="S2918" s="366">
        <v>525840</v>
      </c>
    </row>
    <row r="2919" spans="1:19" ht="45" hidden="1" outlineLevel="1">
      <c r="B2919" s="384">
        <v>2026</v>
      </c>
      <c r="C2919" s="384">
        <v>4</v>
      </c>
      <c r="D2919" s="367" t="s">
        <v>5</v>
      </c>
      <c r="E2919" s="367" t="s">
        <v>6</v>
      </c>
      <c r="F2919" s="389" t="s">
        <v>4738</v>
      </c>
      <c r="G2919" s="385">
        <v>45950</v>
      </c>
      <c r="H2919" s="367" t="s">
        <v>9</v>
      </c>
      <c r="I2919" s="368" t="str">
        <f>VLOOKUP(H2919,'Source Codes'!A$2:B$115,2,FALSE)</f>
        <v>On Line Journal Entries</v>
      </c>
      <c r="J2919" s="422">
        <v>-6660875</v>
      </c>
      <c r="K2919" s="385">
        <v>45953</v>
      </c>
      <c r="L2919" s="369" t="s">
        <v>4745</v>
      </c>
      <c r="M2919" s="390">
        <v>45953.871562499997</v>
      </c>
      <c r="N2919" s="366" t="s">
        <v>359</v>
      </c>
      <c r="O2919" s="367" t="s">
        <v>368</v>
      </c>
      <c r="P2919" s="368" t="str">
        <f t="shared" si="65"/>
        <v>Expense</v>
      </c>
      <c r="Q2919" s="366" t="s">
        <v>2270</v>
      </c>
      <c r="R2919" s="366" t="s">
        <v>4758</v>
      </c>
      <c r="S2919" s="366">
        <v>530280</v>
      </c>
    </row>
    <row r="2920" spans="1:19" ht="30" hidden="1" outlineLevel="1">
      <c r="B2920" s="384">
        <v>2026</v>
      </c>
      <c r="C2920" s="384">
        <v>4</v>
      </c>
      <c r="D2920" s="367" t="s">
        <v>5</v>
      </c>
      <c r="E2920" s="367" t="s">
        <v>6</v>
      </c>
      <c r="F2920" s="389" t="s">
        <v>4739</v>
      </c>
      <c r="G2920" s="385">
        <v>45931</v>
      </c>
      <c r="H2920" s="367" t="s">
        <v>9</v>
      </c>
      <c r="I2920" s="368" t="str">
        <f>VLOOKUP(H2920,'Source Codes'!A$2:B$115,2,FALSE)</f>
        <v>On Line Journal Entries</v>
      </c>
      <c r="J2920" s="422">
        <v>-7576523.54</v>
      </c>
      <c r="K2920" s="385">
        <v>45953</v>
      </c>
      <c r="L2920" s="369" t="s">
        <v>4746</v>
      </c>
      <c r="M2920" s="390">
        <v>45953.871562499997</v>
      </c>
      <c r="N2920" s="366" t="s">
        <v>356</v>
      </c>
      <c r="O2920" s="367" t="s">
        <v>373</v>
      </c>
      <c r="P2920" s="368" t="str">
        <f t="shared" si="65"/>
        <v>Expense</v>
      </c>
      <c r="Q2920" s="366" t="s">
        <v>2569</v>
      </c>
      <c r="R2920" s="366" t="s">
        <v>4759</v>
      </c>
      <c r="S2920" s="366">
        <v>520930</v>
      </c>
    </row>
    <row r="2921" spans="1:19" ht="15" hidden="1" outlineLevel="1">
      <c r="B2921" s="384">
        <v>2026</v>
      </c>
      <c r="C2921" s="384">
        <v>4</v>
      </c>
      <c r="D2921" s="367" t="s">
        <v>5</v>
      </c>
      <c r="E2921" s="367" t="s">
        <v>6</v>
      </c>
      <c r="F2921" s="389" t="s">
        <v>4740</v>
      </c>
      <c r="G2921" s="385">
        <v>45931</v>
      </c>
      <c r="H2921" s="367" t="s">
        <v>13</v>
      </c>
      <c r="I2921" s="368" t="str">
        <f>VLOOKUP(H2921,'Source Codes'!A$2:B$115,2,FALSE)</f>
        <v>C-IV Voucher/Payments/EBT</v>
      </c>
      <c r="J2921" s="422">
        <v>-10149863.26</v>
      </c>
      <c r="K2921" s="385">
        <v>45953</v>
      </c>
      <c r="L2921" s="369" t="s">
        <v>4747</v>
      </c>
      <c r="M2921" s="390">
        <v>45953.87158564815</v>
      </c>
      <c r="N2921" s="366" t="s">
        <v>356</v>
      </c>
      <c r="O2921" s="367" t="s">
        <v>364</v>
      </c>
      <c r="P2921" s="368" t="str">
        <f t="shared" si="65"/>
        <v>Expense</v>
      </c>
      <c r="Q2921" s="366" t="s">
        <v>2204</v>
      </c>
      <c r="R2921" s="365">
        <v>45931</v>
      </c>
      <c r="S2921" s="366">
        <v>530480</v>
      </c>
    </row>
    <row r="2922" spans="1:19" ht="12.75" customHeight="1" collapsed="1">
      <c r="J2922" s="413">
        <f>SUM(J2911:J2921)</f>
        <v>-31991518.079999998</v>
      </c>
    </row>
    <row r="2924" spans="1:19" ht="12.75" customHeight="1">
      <c r="A2924" s="378" t="s">
        <v>4760</v>
      </c>
    </row>
    <row r="2925" spans="1:19" ht="45" hidden="1" outlineLevel="1">
      <c r="B2925" s="384">
        <v>2026</v>
      </c>
      <c r="C2925" s="384">
        <v>4</v>
      </c>
      <c r="D2925" s="367" t="s">
        <v>5</v>
      </c>
      <c r="E2925" s="367" t="s">
        <v>6</v>
      </c>
      <c r="F2925" s="389" t="s">
        <v>4761</v>
      </c>
      <c r="G2925" s="385">
        <v>45946</v>
      </c>
      <c r="H2925" s="367" t="s">
        <v>12</v>
      </c>
      <c r="I2925" s="368" t="str">
        <f>VLOOKUP(H2925,'Source Codes'!A$2:B$115,2,FALSE)</f>
        <v>AR Direct Cash Journal</v>
      </c>
      <c r="J2925" s="422">
        <v>1008486.64</v>
      </c>
      <c r="K2925" s="385">
        <v>45954</v>
      </c>
      <c r="L2925" s="369" t="s">
        <v>4764</v>
      </c>
      <c r="M2925" s="390">
        <v>45954.752002314817</v>
      </c>
      <c r="N2925" s="366" t="s">
        <v>359</v>
      </c>
      <c r="O2925" s="367" t="s">
        <v>362</v>
      </c>
      <c r="P2925" s="368" t="str">
        <f t="shared" ref="P2925:P2926" si="66">IF(J2925&gt;0,"Revenue",IF(J2925&lt;0,"Expense"))</f>
        <v>Revenue</v>
      </c>
      <c r="Q2925" s="366" t="s">
        <v>2360</v>
      </c>
      <c r="R2925" s="365" t="s">
        <v>2715</v>
      </c>
      <c r="S2925" s="366" t="s">
        <v>4763</v>
      </c>
    </row>
    <row r="2926" spans="1:19" ht="75" hidden="1" outlineLevel="1">
      <c r="B2926" s="384">
        <v>2026</v>
      </c>
      <c r="C2926" s="384">
        <v>4</v>
      </c>
      <c r="D2926" s="367" t="s">
        <v>5</v>
      </c>
      <c r="E2926" s="367" t="s">
        <v>6</v>
      </c>
      <c r="F2926" s="389" t="s">
        <v>4762</v>
      </c>
      <c r="G2926" s="385">
        <v>45953</v>
      </c>
      <c r="H2926" s="367" t="s">
        <v>12</v>
      </c>
      <c r="I2926" s="368" t="str">
        <f>VLOOKUP(H2926,'Source Codes'!A$2:B$115,2,FALSE)</f>
        <v>AR Direct Cash Journal</v>
      </c>
      <c r="J2926" s="422">
        <v>1259651.4099999999</v>
      </c>
      <c r="K2926" s="385">
        <v>45954</v>
      </c>
      <c r="L2926" s="369" t="s">
        <v>4765</v>
      </c>
      <c r="M2926" s="390">
        <v>45954.752002314817</v>
      </c>
      <c r="N2926" s="366" t="s">
        <v>359</v>
      </c>
      <c r="O2926" s="367" t="s">
        <v>370</v>
      </c>
      <c r="P2926" s="368" t="str">
        <f t="shared" si="66"/>
        <v>Revenue</v>
      </c>
      <c r="Q2926" s="366" t="s">
        <v>2264</v>
      </c>
      <c r="R2926" s="365" t="s">
        <v>2264</v>
      </c>
      <c r="S2926" s="366" t="s">
        <v>203</v>
      </c>
    </row>
    <row r="2927" spans="1:19" ht="12.75" customHeight="1" collapsed="1">
      <c r="J2927" s="413">
        <f>SUM(J2925:J2926)</f>
        <v>2268138.0499999998</v>
      </c>
    </row>
    <row r="2929" spans="1:19" ht="12.75" customHeight="1">
      <c r="A2929" s="378" t="s">
        <v>4766</v>
      </c>
    </row>
    <row r="2930" spans="1:19" ht="30" hidden="1" outlineLevel="1">
      <c r="B2930" s="384">
        <v>2026</v>
      </c>
      <c r="C2930" s="384">
        <v>4</v>
      </c>
      <c r="D2930" s="367" t="s">
        <v>5</v>
      </c>
      <c r="E2930" s="367" t="s">
        <v>6</v>
      </c>
      <c r="F2930" s="389" t="s">
        <v>4767</v>
      </c>
      <c r="G2930" s="385">
        <v>45957</v>
      </c>
      <c r="H2930" s="367" t="s">
        <v>14</v>
      </c>
      <c r="I2930" s="368" t="str">
        <f>VLOOKUP(H2930,'Source Codes'!A$2:B$115,2,FALSE)</f>
        <v>AP Warrant Issuance</v>
      </c>
      <c r="J2930" s="422">
        <v>-2069012.41</v>
      </c>
      <c r="K2930" s="385">
        <v>45957</v>
      </c>
      <c r="L2930" s="369" t="s">
        <v>4771</v>
      </c>
      <c r="M2930" s="390">
        <v>45957.757465277777</v>
      </c>
      <c r="N2930" s="366" t="s">
        <v>356</v>
      </c>
      <c r="O2930" s="367" t="s">
        <v>368</v>
      </c>
      <c r="P2930" s="368" t="str">
        <f t="shared" ref="P2930:P2933" si="67">IF(J2930&gt;0,"Revenue",IF(J2930&lt;0,"Expense"))</f>
        <v>Expense</v>
      </c>
      <c r="Q2930" s="366" t="s">
        <v>2154</v>
      </c>
      <c r="R2930" s="365" t="s">
        <v>2154</v>
      </c>
      <c r="S2930" s="366" t="s">
        <v>203</v>
      </c>
    </row>
    <row r="2931" spans="1:19" ht="45" hidden="1" outlineLevel="1">
      <c r="B2931" s="384">
        <v>2026</v>
      </c>
      <c r="C2931" s="384">
        <v>4</v>
      </c>
      <c r="D2931" s="367" t="s">
        <v>5</v>
      </c>
      <c r="E2931" s="367" t="s">
        <v>6</v>
      </c>
      <c r="F2931" s="389" t="s">
        <v>4768</v>
      </c>
      <c r="G2931" s="385">
        <v>45931</v>
      </c>
      <c r="H2931" s="367" t="s">
        <v>12</v>
      </c>
      <c r="I2931" s="368" t="str">
        <f>VLOOKUP(H2931,'Source Codes'!A$2:B$115,2,FALSE)</f>
        <v>AR Direct Cash Journal</v>
      </c>
      <c r="J2931" s="422">
        <v>1544100</v>
      </c>
      <c r="K2931" s="385">
        <v>45957</v>
      </c>
      <c r="L2931" s="369" t="s">
        <v>4772</v>
      </c>
      <c r="M2931" s="390">
        <v>45957.752118055556</v>
      </c>
      <c r="N2931" s="366" t="s">
        <v>356</v>
      </c>
      <c r="O2931" s="367" t="s">
        <v>368</v>
      </c>
      <c r="P2931" s="368" t="str">
        <f t="shared" si="67"/>
        <v>Revenue</v>
      </c>
      <c r="Q2931" s="366" t="s">
        <v>2177</v>
      </c>
      <c r="R2931" s="365" t="s">
        <v>2214</v>
      </c>
      <c r="S2931" s="366">
        <v>774760</v>
      </c>
    </row>
    <row r="2932" spans="1:19" ht="45" hidden="1" outlineLevel="1">
      <c r="B2932" s="384">
        <v>2026</v>
      </c>
      <c r="C2932" s="384">
        <v>4</v>
      </c>
      <c r="D2932" s="367" t="s">
        <v>5</v>
      </c>
      <c r="E2932" s="367" t="s">
        <v>6</v>
      </c>
      <c r="F2932" s="389" t="s">
        <v>4769</v>
      </c>
      <c r="G2932" s="385">
        <v>45957</v>
      </c>
      <c r="H2932" s="367" t="s">
        <v>12</v>
      </c>
      <c r="I2932" s="368" t="str">
        <f>VLOOKUP(H2932,'Source Codes'!A$2:B$115,2,FALSE)</f>
        <v>AR Direct Cash Journal</v>
      </c>
      <c r="J2932" s="422">
        <v>3382802.2</v>
      </c>
      <c r="K2932" s="385">
        <v>45957</v>
      </c>
      <c r="L2932" s="369" t="s">
        <v>4773</v>
      </c>
      <c r="M2932" s="390">
        <v>45957.752118055556</v>
      </c>
      <c r="N2932" s="368" t="s">
        <v>359</v>
      </c>
      <c r="O2932" s="367" t="s">
        <v>371</v>
      </c>
      <c r="P2932" s="368" t="str">
        <f t="shared" si="67"/>
        <v>Revenue</v>
      </c>
      <c r="Q2932" s="366" t="s">
        <v>2316</v>
      </c>
      <c r="R2932" s="365" t="s">
        <v>4353</v>
      </c>
      <c r="S2932" s="366">
        <v>710020</v>
      </c>
    </row>
    <row r="2933" spans="1:19" ht="30" hidden="1" outlineLevel="1">
      <c r="B2933" s="384">
        <v>2026</v>
      </c>
      <c r="C2933" s="384">
        <v>4</v>
      </c>
      <c r="D2933" s="367" t="s">
        <v>5</v>
      </c>
      <c r="E2933" s="367" t="s">
        <v>6</v>
      </c>
      <c r="F2933" s="389" t="s">
        <v>4770</v>
      </c>
      <c r="G2933" s="385">
        <v>45957</v>
      </c>
      <c r="H2933" s="367" t="s">
        <v>11</v>
      </c>
      <c r="I2933" s="368" t="str">
        <f>VLOOKUP(H2933,'Source Codes'!A$2:B$115,2,FALSE)</f>
        <v>AR Payments</v>
      </c>
      <c r="J2933" s="422">
        <v>1465339.93</v>
      </c>
      <c r="K2933" s="385">
        <v>45957</v>
      </c>
      <c r="L2933" s="369" t="s">
        <v>4774</v>
      </c>
      <c r="M2933" s="390">
        <v>45957.752118055556</v>
      </c>
      <c r="N2933" s="366" t="s">
        <v>356</v>
      </c>
      <c r="O2933" s="367" t="s">
        <v>357</v>
      </c>
      <c r="P2933" s="368" t="str">
        <f t="shared" si="67"/>
        <v>Revenue</v>
      </c>
      <c r="Q2933" s="366" t="s">
        <v>2157</v>
      </c>
      <c r="R2933" s="365" t="s">
        <v>2157</v>
      </c>
      <c r="S2933" s="366">
        <v>118501</v>
      </c>
    </row>
    <row r="2934" spans="1:19" ht="12.75" customHeight="1" collapsed="1">
      <c r="J2934" s="413">
        <f>SUM(J2930:J2933)</f>
        <v>4323229.72</v>
      </c>
    </row>
    <row r="2936" spans="1:19" ht="12.75" customHeight="1">
      <c r="A2936" s="378" t="s">
        <v>4775</v>
      </c>
    </row>
    <row r="2937" spans="1:19" ht="30" hidden="1" outlineLevel="1">
      <c r="B2937" s="384">
        <v>2026</v>
      </c>
      <c r="C2937" s="384">
        <v>4</v>
      </c>
      <c r="D2937" s="367" t="s">
        <v>5</v>
      </c>
      <c r="E2937" s="367" t="s">
        <v>6</v>
      </c>
      <c r="F2937" s="389" t="s">
        <v>4776</v>
      </c>
      <c r="G2937" s="385">
        <v>45958</v>
      </c>
      <c r="H2937" s="367" t="s">
        <v>14</v>
      </c>
      <c r="I2937" s="368" t="str">
        <f>VLOOKUP(H2937,'Source Codes'!A$2:B$115,2,FALSE)</f>
        <v>AP Warrant Issuance</v>
      </c>
      <c r="J2937" s="422">
        <v>-1358984.72</v>
      </c>
      <c r="K2937" s="385">
        <v>45958</v>
      </c>
      <c r="L2937" s="369" t="s">
        <v>4782</v>
      </c>
      <c r="M2937" s="390">
        <v>45958.758518518516</v>
      </c>
      <c r="N2937" s="366" t="s">
        <v>356</v>
      </c>
      <c r="O2937" s="367" t="s">
        <v>370</v>
      </c>
      <c r="P2937" s="368" t="str">
        <f t="shared" ref="P2937:P2955" si="68">IF(J2937&gt;0,"Revenue",IF(J2937&lt;0,"Expense"))</f>
        <v>Expense</v>
      </c>
      <c r="Q2937" s="366" t="s">
        <v>2212</v>
      </c>
      <c r="R2937" s="365" t="s">
        <v>2213</v>
      </c>
      <c r="S2937" s="366" t="s">
        <v>203</v>
      </c>
    </row>
    <row r="2938" spans="1:19" ht="30" hidden="1" outlineLevel="1">
      <c r="B2938" s="384">
        <v>2026</v>
      </c>
      <c r="C2938" s="384">
        <v>4</v>
      </c>
      <c r="D2938" s="367" t="s">
        <v>5</v>
      </c>
      <c r="E2938" s="367" t="s">
        <v>6</v>
      </c>
      <c r="F2938" s="389" t="s">
        <v>4777</v>
      </c>
      <c r="G2938" s="385">
        <v>45960</v>
      </c>
      <c r="H2938" s="367" t="s">
        <v>14</v>
      </c>
      <c r="I2938" s="368" t="str">
        <f>VLOOKUP(H2938,'Source Codes'!A$2:B$115,2,FALSE)</f>
        <v>AP Warrant Issuance</v>
      </c>
      <c r="J2938" s="422">
        <v>-1354221.96</v>
      </c>
      <c r="K2938" s="385">
        <v>45958</v>
      </c>
      <c r="L2938" s="369" t="s">
        <v>4783</v>
      </c>
      <c r="M2938" s="390">
        <v>45958.758518518516</v>
      </c>
      <c r="N2938" s="366" t="s">
        <v>359</v>
      </c>
      <c r="O2938" s="367" t="s">
        <v>368</v>
      </c>
      <c r="P2938" s="368" t="str">
        <f t="shared" si="68"/>
        <v>Expense</v>
      </c>
      <c r="Q2938" s="366" t="s">
        <v>2154</v>
      </c>
      <c r="R2938" s="365" t="s">
        <v>2154</v>
      </c>
      <c r="S2938" s="366" t="s">
        <v>303</v>
      </c>
    </row>
    <row r="2939" spans="1:19" ht="30" hidden="1" outlineLevel="1">
      <c r="B2939" s="384">
        <v>2026</v>
      </c>
      <c r="C2939" s="384">
        <v>4</v>
      </c>
      <c r="D2939" s="367" t="s">
        <v>5</v>
      </c>
      <c r="E2939" s="367" t="s">
        <v>6</v>
      </c>
      <c r="F2939" s="389" t="s">
        <v>4778</v>
      </c>
      <c r="G2939" s="385">
        <v>45945</v>
      </c>
      <c r="H2939" s="367" t="s">
        <v>2113</v>
      </c>
      <c r="I2939" s="368" t="str">
        <f>VLOOKUP(H2939,'Source Codes'!A$2:B$115,2,FALSE)</f>
        <v>Payroll TAP Service Fees</v>
      </c>
      <c r="J2939" s="422">
        <v>-1017208.41</v>
      </c>
      <c r="K2939" s="385">
        <v>45958</v>
      </c>
      <c r="L2939" s="369" t="s">
        <v>4780</v>
      </c>
      <c r="M2939" s="390">
        <v>45958.87059027778</v>
      </c>
      <c r="N2939" s="366" t="s">
        <v>2185</v>
      </c>
      <c r="O2939" s="367" t="s">
        <v>379</v>
      </c>
      <c r="P2939" s="368" t="str">
        <f t="shared" si="68"/>
        <v>Expense</v>
      </c>
      <c r="Q2939" s="366" t="s">
        <v>379</v>
      </c>
      <c r="R2939" s="365" t="s">
        <v>4714</v>
      </c>
      <c r="S2939" s="366">
        <v>515040</v>
      </c>
    </row>
    <row r="2940" spans="1:19" ht="30" hidden="1" outlineLevel="1">
      <c r="B2940" s="384">
        <v>2026</v>
      </c>
      <c r="C2940" s="384">
        <v>4</v>
      </c>
      <c r="D2940" s="367" t="s">
        <v>5</v>
      </c>
      <c r="E2940" s="367" t="s">
        <v>6</v>
      </c>
      <c r="F2940" s="389" t="s">
        <v>4779</v>
      </c>
      <c r="G2940" s="385">
        <v>45950</v>
      </c>
      <c r="H2940" s="367" t="s">
        <v>337</v>
      </c>
      <c r="I2940" s="368" t="str">
        <f>VLOOKUP(H2940,'Source Codes'!A$2:B$115,2,FALSE)</f>
        <v>Facilities Mngmnt Intfc Jrnls</v>
      </c>
      <c r="J2940" s="422">
        <v>-4423000.21</v>
      </c>
      <c r="K2940" s="385">
        <v>45958</v>
      </c>
      <c r="L2940" s="369" t="s">
        <v>4781</v>
      </c>
      <c r="M2940" s="390">
        <v>45958.870567129627</v>
      </c>
      <c r="N2940" s="366" t="s">
        <v>359</v>
      </c>
      <c r="O2940" s="367" t="s">
        <v>367</v>
      </c>
      <c r="P2940" s="368" t="str">
        <f t="shared" si="68"/>
        <v>Expense</v>
      </c>
      <c r="Q2940" s="366" t="s">
        <v>2237</v>
      </c>
      <c r="R2940" s="365" t="s">
        <v>4784</v>
      </c>
      <c r="S2940" s="366" t="s">
        <v>2239</v>
      </c>
    </row>
    <row r="2941" spans="1:19" ht="12.75" customHeight="1" collapsed="1">
      <c r="I2941" s="368"/>
      <c r="J2941" s="413">
        <f>SUM(J2937:J2940)</f>
        <v>-8153415.2999999998</v>
      </c>
      <c r="P2941" s="368"/>
    </row>
    <row r="2942" spans="1:19" ht="12.75" customHeight="1">
      <c r="I2942" s="368"/>
      <c r="P2942" s="368"/>
    </row>
    <row r="2943" spans="1:19" ht="12.75" customHeight="1">
      <c r="A2943" s="378" t="s">
        <v>4785</v>
      </c>
      <c r="I2943" s="368"/>
      <c r="P2943" s="368"/>
    </row>
    <row r="2944" spans="1:19" ht="45" hidden="1" outlineLevel="1">
      <c r="B2944" s="384">
        <v>2026</v>
      </c>
      <c r="C2944" s="384">
        <v>4</v>
      </c>
      <c r="D2944" s="367" t="s">
        <v>5</v>
      </c>
      <c r="E2944" s="367" t="s">
        <v>6</v>
      </c>
      <c r="F2944" s="389" t="s">
        <v>4786</v>
      </c>
      <c r="G2944" s="385">
        <v>45959</v>
      </c>
      <c r="H2944" s="367" t="s">
        <v>14</v>
      </c>
      <c r="I2944" s="368" t="str">
        <f>VLOOKUP(H2944,'Source Codes'!A$2:B$115,2,FALSE)</f>
        <v>AP Warrant Issuance</v>
      </c>
      <c r="J2944" s="422">
        <v>-1331478.78</v>
      </c>
      <c r="K2944" s="385">
        <v>45959</v>
      </c>
      <c r="L2944" s="369" t="s">
        <v>4793</v>
      </c>
      <c r="M2944" s="390">
        <v>45959.758449074077</v>
      </c>
      <c r="N2944" s="366" t="s">
        <v>356</v>
      </c>
      <c r="O2944" s="367" t="s">
        <v>368</v>
      </c>
      <c r="P2944" s="368" t="str">
        <f t="shared" si="68"/>
        <v>Expense</v>
      </c>
      <c r="Q2944" s="366" t="s">
        <v>2154</v>
      </c>
      <c r="R2944" s="366" t="s">
        <v>2154</v>
      </c>
      <c r="S2944" s="366">
        <v>530280</v>
      </c>
    </row>
    <row r="2945" spans="1:19" ht="45" hidden="1" outlineLevel="1">
      <c r="B2945" s="384">
        <v>2026</v>
      </c>
      <c r="C2945" s="384">
        <v>4</v>
      </c>
      <c r="D2945" s="367" t="s">
        <v>5</v>
      </c>
      <c r="E2945" s="367" t="s">
        <v>6</v>
      </c>
      <c r="F2945" s="389" t="s">
        <v>4787</v>
      </c>
      <c r="G2945" s="385">
        <v>45957</v>
      </c>
      <c r="H2945" s="367" t="s">
        <v>12</v>
      </c>
      <c r="I2945" s="368" t="str">
        <f>VLOOKUP(H2945,'Source Codes'!A$2:B$115,2,FALSE)</f>
        <v>AR Direct Cash Journal</v>
      </c>
      <c r="J2945" s="422">
        <v>1952428.16</v>
      </c>
      <c r="K2945" s="385">
        <v>45959</v>
      </c>
      <c r="L2945" s="369" t="s">
        <v>4789</v>
      </c>
      <c r="M2945" s="390">
        <v>45959.752476851849</v>
      </c>
      <c r="N2945" s="366" t="s">
        <v>356</v>
      </c>
      <c r="O2945" s="367" t="s">
        <v>362</v>
      </c>
      <c r="P2945" s="368" t="str">
        <f t="shared" si="68"/>
        <v>Revenue</v>
      </c>
      <c r="Q2945" s="366" t="s">
        <v>2360</v>
      </c>
      <c r="R2945" s="366" t="s">
        <v>2715</v>
      </c>
      <c r="S2945" s="366" t="s">
        <v>4790</v>
      </c>
    </row>
    <row r="2946" spans="1:19" ht="30" hidden="1" outlineLevel="1">
      <c r="B2946" s="384">
        <v>2026</v>
      </c>
      <c r="C2946" s="384">
        <v>4</v>
      </c>
      <c r="D2946" s="367" t="s">
        <v>5</v>
      </c>
      <c r="E2946" s="367" t="s">
        <v>6</v>
      </c>
      <c r="F2946" s="389" t="s">
        <v>4788</v>
      </c>
      <c r="G2946" s="385">
        <v>45958</v>
      </c>
      <c r="H2946" s="367" t="s">
        <v>12</v>
      </c>
      <c r="I2946" s="368" t="str">
        <f>VLOOKUP(H2946,'Source Codes'!A$2:B$115,2,FALSE)</f>
        <v>AR Direct Cash Journal</v>
      </c>
      <c r="J2946" s="422">
        <v>2702449.13</v>
      </c>
      <c r="K2946" s="385">
        <v>45959</v>
      </c>
      <c r="L2946" s="369" t="s">
        <v>4791</v>
      </c>
      <c r="M2946" s="390">
        <v>45959.752476851849</v>
      </c>
      <c r="N2946" s="366" t="s">
        <v>359</v>
      </c>
      <c r="O2946" s="367" t="s">
        <v>371</v>
      </c>
      <c r="P2946" s="368" t="str">
        <f t="shared" si="68"/>
        <v>Revenue</v>
      </c>
      <c r="Q2946" s="366" t="s">
        <v>2346</v>
      </c>
      <c r="R2946" s="366" t="s">
        <v>4792</v>
      </c>
      <c r="S2946" s="366">
        <v>750250</v>
      </c>
    </row>
    <row r="2947" spans="1:19" ht="12.75" customHeight="1" collapsed="1">
      <c r="I2947" s="368"/>
      <c r="J2947" s="413">
        <f>SUM(J2944:J2946)</f>
        <v>3323398.51</v>
      </c>
      <c r="P2947" s="368"/>
    </row>
    <row r="2948" spans="1:19" ht="12.75" customHeight="1">
      <c r="I2948" s="368"/>
      <c r="P2948" s="368"/>
    </row>
    <row r="2949" spans="1:19" ht="12.75" customHeight="1">
      <c r="A2949" s="378" t="s">
        <v>4794</v>
      </c>
      <c r="I2949" s="368"/>
      <c r="P2949" s="368"/>
    </row>
    <row r="2950" spans="1:19" ht="30" hidden="1" outlineLevel="1">
      <c r="B2950" s="384">
        <v>2026</v>
      </c>
      <c r="C2950" s="384">
        <v>4</v>
      </c>
      <c r="D2950" s="367" t="s">
        <v>5</v>
      </c>
      <c r="E2950" s="367" t="s">
        <v>6</v>
      </c>
      <c r="F2950" s="389" t="s">
        <v>4795</v>
      </c>
      <c r="G2950" s="385">
        <v>45960</v>
      </c>
      <c r="H2950" s="367" t="s">
        <v>14</v>
      </c>
      <c r="I2950" s="368" t="str">
        <f>VLOOKUP(H2950,'Source Codes'!A$2:B$115,2,FALSE)</f>
        <v>AP Warrant Issuance</v>
      </c>
      <c r="J2950" s="422">
        <v>-1531954.13</v>
      </c>
      <c r="K2950" s="385">
        <v>45960</v>
      </c>
      <c r="L2950" s="369" t="s">
        <v>4797</v>
      </c>
      <c r="M2950" s="390">
        <v>45960.757222222222</v>
      </c>
      <c r="N2950" s="366" t="s">
        <v>356</v>
      </c>
      <c r="O2950" s="367" t="s">
        <v>368</v>
      </c>
      <c r="P2950" s="368" t="str">
        <f t="shared" si="68"/>
        <v>Expense</v>
      </c>
      <c r="Q2950" s="366" t="s">
        <v>2154</v>
      </c>
      <c r="R2950" s="366" t="s">
        <v>2154</v>
      </c>
      <c r="S2950" s="366">
        <v>530440</v>
      </c>
    </row>
    <row r="2951" spans="1:19" ht="30" hidden="1" outlineLevel="1">
      <c r="B2951" s="384">
        <v>2026</v>
      </c>
      <c r="C2951" s="384">
        <v>5</v>
      </c>
      <c r="D2951" s="367" t="s">
        <v>5</v>
      </c>
      <c r="E2951" s="367" t="s">
        <v>6</v>
      </c>
      <c r="F2951" s="389" t="s">
        <v>4796</v>
      </c>
      <c r="G2951" s="385">
        <v>45964</v>
      </c>
      <c r="H2951" s="367" t="s">
        <v>14</v>
      </c>
      <c r="I2951" s="368" t="str">
        <f>VLOOKUP(H2951,'Source Codes'!A$2:B$115,2,FALSE)</f>
        <v>AP Warrant Issuance</v>
      </c>
      <c r="J2951" s="422">
        <v>-1017809.58</v>
      </c>
      <c r="K2951" s="385">
        <v>45960</v>
      </c>
      <c r="L2951" s="369" t="s">
        <v>4809</v>
      </c>
      <c r="M2951" s="390">
        <v>45960.757222222222</v>
      </c>
      <c r="N2951" s="366" t="s">
        <v>356</v>
      </c>
      <c r="O2951" s="367" t="s">
        <v>364</v>
      </c>
      <c r="P2951" s="368" t="str">
        <f t="shared" si="68"/>
        <v>Expense</v>
      </c>
      <c r="Q2951" s="366" t="s">
        <v>2344</v>
      </c>
      <c r="R2951" s="365" t="s">
        <v>2344</v>
      </c>
      <c r="S2951" s="366" t="s">
        <v>4798</v>
      </c>
    </row>
    <row r="2952" spans="1:19" ht="30" hidden="1" outlineLevel="1">
      <c r="B2952" s="384">
        <v>2026</v>
      </c>
      <c r="C2952" s="384">
        <v>4</v>
      </c>
      <c r="D2952" s="367" t="s">
        <v>5</v>
      </c>
      <c r="E2952" s="367" t="s">
        <v>6</v>
      </c>
      <c r="F2952" s="389" t="s">
        <v>4799</v>
      </c>
      <c r="G2952" s="385">
        <v>45953</v>
      </c>
      <c r="H2952" s="367" t="s">
        <v>12</v>
      </c>
      <c r="I2952" s="368" t="str">
        <f>VLOOKUP(H2952,'Source Codes'!A$2:B$115,2,FALSE)</f>
        <v>AR Direct Cash Journal</v>
      </c>
      <c r="J2952" s="422">
        <v>3004002.91</v>
      </c>
      <c r="K2952" s="385">
        <v>45960</v>
      </c>
      <c r="L2952" s="369" t="s">
        <v>4801</v>
      </c>
      <c r="M2952" s="390">
        <v>45960.752280092594</v>
      </c>
      <c r="N2952" s="366" t="s">
        <v>2185</v>
      </c>
      <c r="O2952" s="367" t="s">
        <v>385</v>
      </c>
      <c r="P2952" s="368" t="str">
        <f t="shared" si="68"/>
        <v>Revenue</v>
      </c>
      <c r="Q2952" s="366" t="s">
        <v>2757</v>
      </c>
      <c r="R2952" s="366" t="s">
        <v>2715</v>
      </c>
      <c r="S2952" s="366">
        <v>112632</v>
      </c>
    </row>
    <row r="2953" spans="1:19" ht="30" hidden="1" outlineLevel="1">
      <c r="B2953" s="384">
        <v>2026</v>
      </c>
      <c r="C2953" s="384">
        <v>4</v>
      </c>
      <c r="D2953" s="367" t="s">
        <v>5</v>
      </c>
      <c r="E2953" s="367" t="s">
        <v>6</v>
      </c>
      <c r="F2953" s="389" t="s">
        <v>4800</v>
      </c>
      <c r="G2953" s="385">
        <v>45960</v>
      </c>
      <c r="H2953" s="367" t="s">
        <v>12</v>
      </c>
      <c r="I2953" s="368" t="str">
        <f>VLOOKUP(H2953,'Source Codes'!A$2:B$115,2,FALSE)</f>
        <v>AR Direct Cash Journal</v>
      </c>
      <c r="J2953" s="422">
        <v>5358490.03</v>
      </c>
      <c r="K2953" s="385">
        <v>45960</v>
      </c>
      <c r="L2953" s="369" t="s">
        <v>4803</v>
      </c>
      <c r="M2953" s="390">
        <v>45960.752280092594</v>
      </c>
      <c r="N2953" s="366" t="s">
        <v>356</v>
      </c>
      <c r="O2953" s="367" t="s">
        <v>370</v>
      </c>
      <c r="P2953" s="368" t="str">
        <f t="shared" si="68"/>
        <v>Revenue</v>
      </c>
      <c r="Q2953" s="366" t="s">
        <v>2264</v>
      </c>
      <c r="R2953" s="366" t="s">
        <v>2264</v>
      </c>
      <c r="S2953" s="366" t="s">
        <v>4802</v>
      </c>
    </row>
    <row r="2954" spans="1:19" ht="60" hidden="1" outlineLevel="1">
      <c r="B2954" s="384">
        <v>2026</v>
      </c>
      <c r="C2954" s="384">
        <v>4</v>
      </c>
      <c r="D2954" s="367" t="s">
        <v>5</v>
      </c>
      <c r="E2954" s="367" t="s">
        <v>6</v>
      </c>
      <c r="F2954" s="389" t="s">
        <v>4804</v>
      </c>
      <c r="G2954" s="385">
        <v>45957</v>
      </c>
      <c r="H2954" s="367" t="s">
        <v>9</v>
      </c>
      <c r="I2954" s="368" t="str">
        <f>VLOOKUP(H2954,'Source Codes'!A$2:B$115,2,FALSE)</f>
        <v>On Line Journal Entries</v>
      </c>
      <c r="J2954" s="422">
        <v>3348859.09</v>
      </c>
      <c r="K2954" s="385">
        <v>45960</v>
      </c>
      <c r="L2954" s="369" t="s">
        <v>4806</v>
      </c>
      <c r="M2954" s="390">
        <v>45960.870023148149</v>
      </c>
      <c r="N2954" s="366" t="s">
        <v>356</v>
      </c>
      <c r="O2954" s="367" t="s">
        <v>371</v>
      </c>
      <c r="P2954" s="368" t="str">
        <f t="shared" si="68"/>
        <v>Revenue</v>
      </c>
      <c r="Q2954" s="366" t="s">
        <v>3577</v>
      </c>
      <c r="R2954" s="365" t="s">
        <v>4808</v>
      </c>
      <c r="S2954" s="366">
        <v>750900</v>
      </c>
    </row>
    <row r="2955" spans="1:19" ht="15" hidden="1" outlineLevel="1">
      <c r="B2955" s="384">
        <v>2026</v>
      </c>
      <c r="C2955" s="384">
        <v>4</v>
      </c>
      <c r="D2955" s="367" t="s">
        <v>5</v>
      </c>
      <c r="E2955" s="367" t="s">
        <v>6</v>
      </c>
      <c r="F2955" s="389" t="s">
        <v>4805</v>
      </c>
      <c r="G2955" s="385">
        <v>45957</v>
      </c>
      <c r="H2955" s="367" t="s">
        <v>9</v>
      </c>
      <c r="I2955" s="368" t="str">
        <f>VLOOKUP(H2955,'Source Codes'!A$2:B$115,2,FALSE)</f>
        <v>On Line Journal Entries</v>
      </c>
      <c r="J2955" s="422">
        <v>1631977.16</v>
      </c>
      <c r="K2955" s="385">
        <v>45960</v>
      </c>
      <c r="L2955" s="369" t="s">
        <v>4807</v>
      </c>
      <c r="M2955" s="390">
        <v>45960.870023148149</v>
      </c>
      <c r="N2955" s="366" t="s">
        <v>356</v>
      </c>
      <c r="O2955" s="367" t="s">
        <v>371</v>
      </c>
      <c r="P2955" s="368" t="str">
        <f t="shared" si="68"/>
        <v>Revenue</v>
      </c>
      <c r="Q2955" s="366" t="s">
        <v>2164</v>
      </c>
      <c r="R2955" s="394" t="s">
        <v>5021</v>
      </c>
      <c r="S2955" s="366">
        <v>755909</v>
      </c>
    </row>
    <row r="2956" spans="1:19" ht="12.75" customHeight="1" collapsed="1">
      <c r="J2956" s="413">
        <f>SUM(J2950:J2955)</f>
        <v>10793565.48</v>
      </c>
    </row>
    <row r="2958" spans="1:19" ht="12.75" customHeight="1">
      <c r="A2958" s="378" t="s">
        <v>4815</v>
      </c>
    </row>
    <row r="2959" spans="1:19" ht="30" hidden="1" outlineLevel="1">
      <c r="B2959" s="384">
        <v>2026</v>
      </c>
      <c r="C2959" s="384">
        <v>5</v>
      </c>
      <c r="D2959" s="367" t="s">
        <v>5</v>
      </c>
      <c r="E2959" s="367" t="s">
        <v>6</v>
      </c>
      <c r="F2959" s="389" t="s">
        <v>4810</v>
      </c>
      <c r="G2959" s="385">
        <v>45965</v>
      </c>
      <c r="H2959" s="367" t="s">
        <v>14</v>
      </c>
      <c r="I2959" s="368" t="str">
        <f>VLOOKUP(H2959,'Source Codes'!A$2:B$115,2,FALSE)</f>
        <v>AP Warrant Issuance</v>
      </c>
      <c r="J2959" s="422">
        <v>-2836666.16</v>
      </c>
      <c r="K2959" s="385">
        <v>45961</v>
      </c>
      <c r="L2959" s="369" t="s">
        <v>4812</v>
      </c>
      <c r="M2959" s="390">
        <v>45961.761493055557</v>
      </c>
      <c r="N2959" s="366" t="s">
        <v>356</v>
      </c>
      <c r="O2959" s="367" t="s">
        <v>368</v>
      </c>
      <c r="P2959" s="368" t="s">
        <v>2613</v>
      </c>
      <c r="Q2959" s="366" t="s">
        <v>2154</v>
      </c>
      <c r="R2959" s="366" t="s">
        <v>2154</v>
      </c>
      <c r="S2959" s="366" t="s">
        <v>203</v>
      </c>
    </row>
    <row r="2960" spans="1:19" ht="75" hidden="1" outlineLevel="1">
      <c r="B2960" s="384">
        <v>2026</v>
      </c>
      <c r="C2960" s="384">
        <v>4</v>
      </c>
      <c r="D2960" s="367" t="s">
        <v>5</v>
      </c>
      <c r="E2960" s="367" t="s">
        <v>6</v>
      </c>
      <c r="F2960" s="389" t="s">
        <v>4811</v>
      </c>
      <c r="G2960" s="385">
        <v>45961</v>
      </c>
      <c r="H2960" s="367" t="s">
        <v>12</v>
      </c>
      <c r="I2960" s="368" t="str">
        <f>VLOOKUP(H2960,'Source Codes'!A$2:B$115,2,FALSE)</f>
        <v>AR Direct Cash Journal</v>
      </c>
      <c r="J2960" s="422">
        <v>1693107.03</v>
      </c>
      <c r="K2960" s="385">
        <v>45961</v>
      </c>
      <c r="L2960" s="369" t="s">
        <v>4813</v>
      </c>
      <c r="M2960" s="390">
        <v>45961.751863425925</v>
      </c>
      <c r="N2960" s="368" t="s">
        <v>359</v>
      </c>
      <c r="O2960" s="367" t="s">
        <v>2631</v>
      </c>
      <c r="P2960" s="368" t="s">
        <v>2290</v>
      </c>
      <c r="Q2960" s="366" t="s">
        <v>2632</v>
      </c>
      <c r="R2960" s="365" t="s">
        <v>2632</v>
      </c>
      <c r="S2960" s="366" t="s">
        <v>4814</v>
      </c>
    </row>
    <row r="2961" spans="1:19" ht="12.75" customHeight="1" collapsed="1">
      <c r="B2961" s="396"/>
      <c r="C2961" s="396"/>
      <c r="J2961" s="413">
        <f>SUM(J2959:J2960)</f>
        <v>-1143559.1300000001</v>
      </c>
    </row>
    <row r="2963" spans="1:19" ht="12.75" customHeight="1">
      <c r="A2963" s="378" t="s">
        <v>4817</v>
      </c>
    </row>
    <row r="2964" spans="1:19" ht="30" hidden="1" outlineLevel="1">
      <c r="B2964" s="384">
        <v>2026</v>
      </c>
      <c r="C2964" s="384">
        <v>5</v>
      </c>
      <c r="D2964" s="367" t="s">
        <v>5</v>
      </c>
      <c r="E2964" s="367" t="s">
        <v>6</v>
      </c>
      <c r="F2964" s="389" t="s">
        <v>4818</v>
      </c>
      <c r="G2964" s="385">
        <v>45966</v>
      </c>
      <c r="H2964" s="367" t="s">
        <v>14</v>
      </c>
      <c r="I2964" s="368" t="str">
        <f>VLOOKUP(H2964,'Source Codes'!A$2:B$115,2,FALSE)</f>
        <v>AP Warrant Issuance</v>
      </c>
      <c r="J2964" s="422">
        <v>-2490983.58</v>
      </c>
      <c r="K2964" s="385">
        <v>45964</v>
      </c>
      <c r="L2964" s="369" t="s">
        <v>4828</v>
      </c>
      <c r="M2964" s="390">
        <v>45964.759421296294</v>
      </c>
      <c r="N2964" s="366" t="s">
        <v>356</v>
      </c>
      <c r="O2964" s="367" t="s">
        <v>368</v>
      </c>
      <c r="P2964" s="368" t="str">
        <f t="shared" ref="P2964:P2972" si="69">IF(J2964&gt;0,"Revenue",IF(J2964&lt;0,"Expense"))</f>
        <v>Expense</v>
      </c>
      <c r="Q2964" s="366" t="s">
        <v>2154</v>
      </c>
      <c r="R2964" s="366" t="s">
        <v>2154</v>
      </c>
      <c r="S2964" s="366" t="s">
        <v>203</v>
      </c>
    </row>
    <row r="2965" spans="1:19" ht="45" hidden="1" outlineLevel="1">
      <c r="B2965" s="384">
        <v>2026</v>
      </c>
      <c r="C2965" s="384">
        <v>5</v>
      </c>
      <c r="D2965" s="367" t="s">
        <v>5</v>
      </c>
      <c r="E2965" s="367" t="s">
        <v>6</v>
      </c>
      <c r="F2965" s="389" t="s">
        <v>4819</v>
      </c>
      <c r="G2965" s="385">
        <v>45966</v>
      </c>
      <c r="H2965" s="367" t="s">
        <v>14</v>
      </c>
      <c r="I2965" s="368" t="str">
        <f>VLOOKUP(H2965,'Source Codes'!A$2:B$115,2,FALSE)</f>
        <v>AP Warrant Issuance</v>
      </c>
      <c r="J2965" s="422">
        <v>-1690915.41</v>
      </c>
      <c r="K2965" s="385">
        <v>45964</v>
      </c>
      <c r="L2965" s="369" t="s">
        <v>4829</v>
      </c>
      <c r="M2965" s="390">
        <v>45964.759421296294</v>
      </c>
      <c r="N2965" s="366" t="s">
        <v>356</v>
      </c>
      <c r="O2965" s="367" t="s">
        <v>370</v>
      </c>
      <c r="P2965" s="368" t="str">
        <f t="shared" si="69"/>
        <v>Expense</v>
      </c>
      <c r="Q2965" s="366" t="s">
        <v>2212</v>
      </c>
      <c r="R2965" s="366" t="s">
        <v>2213</v>
      </c>
      <c r="S2965" s="366">
        <v>524860</v>
      </c>
    </row>
    <row r="2966" spans="1:19" ht="30" hidden="1" outlineLevel="1">
      <c r="B2966" s="384">
        <v>2026</v>
      </c>
      <c r="C2966" s="384">
        <v>4</v>
      </c>
      <c r="D2966" s="367" t="s">
        <v>5</v>
      </c>
      <c r="E2966" s="367" t="s">
        <v>6</v>
      </c>
      <c r="F2966" s="389" t="s">
        <v>4820</v>
      </c>
      <c r="G2966" s="385">
        <v>45960</v>
      </c>
      <c r="H2966" s="367" t="s">
        <v>11</v>
      </c>
      <c r="I2966" s="368" t="str">
        <f>VLOOKUP(H2966,'Source Codes'!A$2:B$115,2,FALSE)</f>
        <v>AR Payments</v>
      </c>
      <c r="J2966" s="422">
        <v>4847352.55</v>
      </c>
      <c r="K2966" s="385">
        <v>45964</v>
      </c>
      <c r="L2966" s="369" t="s">
        <v>4830</v>
      </c>
      <c r="M2966" s="390">
        <v>45964.752523148149</v>
      </c>
      <c r="N2966" s="366" t="s">
        <v>356</v>
      </c>
      <c r="O2966" s="367" t="s">
        <v>357</v>
      </c>
      <c r="P2966" s="368" t="str">
        <f t="shared" si="69"/>
        <v>Revenue</v>
      </c>
      <c r="Q2966" s="366" t="s">
        <v>2157</v>
      </c>
      <c r="R2966" s="366" t="s">
        <v>2157</v>
      </c>
      <c r="S2966" s="366">
        <v>118501</v>
      </c>
    </row>
    <row r="2967" spans="1:19" ht="45" hidden="1" outlineLevel="1">
      <c r="B2967" s="384">
        <v>2026</v>
      </c>
      <c r="C2967" s="384">
        <v>4</v>
      </c>
      <c r="D2967" s="367" t="s">
        <v>5</v>
      </c>
      <c r="E2967" s="367" t="s">
        <v>6</v>
      </c>
      <c r="F2967" s="389" t="s">
        <v>4821</v>
      </c>
      <c r="G2967" s="385">
        <v>45952</v>
      </c>
      <c r="H2967" s="367" t="s">
        <v>9</v>
      </c>
      <c r="I2967" s="368" t="str">
        <f>VLOOKUP(H2967,'Source Codes'!A$2:B$115,2,FALSE)</f>
        <v>On Line Journal Entries</v>
      </c>
      <c r="J2967" s="422">
        <v>6137537</v>
      </c>
      <c r="K2967" s="385">
        <v>45964</v>
      </c>
      <c r="L2967" s="369" t="s">
        <v>352</v>
      </c>
      <c r="M2967" s="390">
        <v>45964.871192129627</v>
      </c>
      <c r="N2967" s="368" t="s">
        <v>359</v>
      </c>
      <c r="O2967" s="367" t="s">
        <v>364</v>
      </c>
      <c r="P2967" s="368" t="str">
        <f t="shared" si="69"/>
        <v>Revenue</v>
      </c>
      <c r="Q2967" s="366" t="s">
        <v>2232</v>
      </c>
      <c r="R2967" s="365" t="s">
        <v>2232</v>
      </c>
      <c r="S2967" s="366" t="s">
        <v>2789</v>
      </c>
    </row>
    <row r="2968" spans="1:19" ht="45" hidden="1" outlineLevel="1">
      <c r="B2968" s="384">
        <v>2026</v>
      </c>
      <c r="C2968" s="384">
        <v>4</v>
      </c>
      <c r="D2968" s="367" t="s">
        <v>5</v>
      </c>
      <c r="E2968" s="367" t="s">
        <v>6</v>
      </c>
      <c r="F2968" s="389" t="s">
        <v>4822</v>
      </c>
      <c r="G2968" s="385">
        <v>45952</v>
      </c>
      <c r="H2968" s="367" t="s">
        <v>9</v>
      </c>
      <c r="I2968" s="368" t="str">
        <f>VLOOKUP(H2968,'Source Codes'!A$2:B$115,2,FALSE)</f>
        <v>On Line Journal Entries</v>
      </c>
      <c r="J2968" s="422">
        <v>6027110</v>
      </c>
      <c r="K2968" s="385">
        <v>45964</v>
      </c>
      <c r="L2968" s="369" t="s">
        <v>352</v>
      </c>
      <c r="M2968" s="390">
        <v>45964.871192129627</v>
      </c>
      <c r="N2968" s="368" t="s">
        <v>359</v>
      </c>
      <c r="O2968" s="367" t="s">
        <v>364</v>
      </c>
      <c r="P2968" s="368" t="str">
        <f t="shared" si="69"/>
        <v>Revenue</v>
      </c>
      <c r="Q2968" s="366" t="s">
        <v>2232</v>
      </c>
      <c r="R2968" s="365" t="s">
        <v>2232</v>
      </c>
      <c r="S2968" s="366" t="s">
        <v>2789</v>
      </c>
    </row>
    <row r="2969" spans="1:19" ht="15" hidden="1" outlineLevel="1">
      <c r="B2969" s="384">
        <v>2026</v>
      </c>
      <c r="C2969" s="384">
        <v>4</v>
      </c>
      <c r="D2969" s="367" t="s">
        <v>5</v>
      </c>
      <c r="E2969" s="367" t="s">
        <v>6</v>
      </c>
      <c r="F2969" s="389" t="s">
        <v>4823</v>
      </c>
      <c r="G2969" s="385">
        <v>45959</v>
      </c>
      <c r="H2969" s="367" t="s">
        <v>7</v>
      </c>
      <c r="I2969" s="368" t="str">
        <f>VLOOKUP(H2969,'Source Codes'!A$2:B$115,2,FALSE)</f>
        <v>HRMS Interface Journals</v>
      </c>
      <c r="J2969" s="422">
        <v>-2498360.73</v>
      </c>
      <c r="K2969" s="385">
        <v>45964</v>
      </c>
      <c r="L2969" s="369" t="s">
        <v>409</v>
      </c>
      <c r="M2969" s="390">
        <v>45964.356423611112</v>
      </c>
      <c r="N2969" s="366" t="s">
        <v>378</v>
      </c>
      <c r="O2969" s="367" t="s">
        <v>379</v>
      </c>
      <c r="P2969" s="368" t="str">
        <f t="shared" si="69"/>
        <v>Expense</v>
      </c>
      <c r="Q2969" s="366" t="s">
        <v>379</v>
      </c>
      <c r="R2969" s="366" t="s">
        <v>4831</v>
      </c>
      <c r="S2969" s="366">
        <v>513120</v>
      </c>
    </row>
    <row r="2970" spans="1:19" ht="15" hidden="1" outlineLevel="1">
      <c r="B2970" s="384">
        <v>2026</v>
      </c>
      <c r="C2970" s="384">
        <v>4</v>
      </c>
      <c r="D2970" s="367" t="s">
        <v>5</v>
      </c>
      <c r="E2970" s="367" t="s">
        <v>6</v>
      </c>
      <c r="F2970" s="389" t="s">
        <v>4824</v>
      </c>
      <c r="G2970" s="385">
        <v>45959</v>
      </c>
      <c r="H2970" s="367" t="s">
        <v>7</v>
      </c>
      <c r="I2970" s="368" t="str">
        <f>VLOOKUP(H2970,'Source Codes'!A$2:B$115,2,FALSE)</f>
        <v>HRMS Interface Journals</v>
      </c>
      <c r="J2970" s="422">
        <v>-10413462.93</v>
      </c>
      <c r="K2970" s="385">
        <v>45964</v>
      </c>
      <c r="L2970" s="369" t="s">
        <v>407</v>
      </c>
      <c r="M2970" s="390">
        <v>45964.351747685185</v>
      </c>
      <c r="N2970" s="366" t="s">
        <v>378</v>
      </c>
      <c r="O2970" s="367" t="s">
        <v>379</v>
      </c>
      <c r="P2970" s="368" t="str">
        <f t="shared" si="69"/>
        <v>Expense</v>
      </c>
      <c r="Q2970" s="366" t="s">
        <v>379</v>
      </c>
      <c r="R2970" s="366" t="s">
        <v>4831</v>
      </c>
      <c r="S2970" s="366" t="s">
        <v>203</v>
      </c>
    </row>
    <row r="2971" spans="1:19" ht="15" hidden="1" outlineLevel="1">
      <c r="B2971" s="384">
        <v>2026</v>
      </c>
      <c r="C2971" s="384">
        <v>5</v>
      </c>
      <c r="D2971" s="367" t="s">
        <v>5</v>
      </c>
      <c r="E2971" s="367" t="s">
        <v>6</v>
      </c>
      <c r="F2971" s="389" t="s">
        <v>4825</v>
      </c>
      <c r="G2971" s="385">
        <v>45962</v>
      </c>
      <c r="H2971" s="367" t="s">
        <v>13</v>
      </c>
      <c r="I2971" s="368" t="str">
        <f>VLOOKUP(H2971,'Source Codes'!A$2:B$115,2,FALSE)</f>
        <v>C-IV Voucher/Payments/EBT</v>
      </c>
      <c r="J2971" s="422">
        <v>-12127914.640000001</v>
      </c>
      <c r="K2971" s="385">
        <v>45964</v>
      </c>
      <c r="L2971" s="369" t="s">
        <v>4827</v>
      </c>
      <c r="M2971" s="390">
        <v>45964.871203703704</v>
      </c>
      <c r="N2971" s="366" t="s">
        <v>356</v>
      </c>
      <c r="O2971" s="367" t="s">
        <v>364</v>
      </c>
      <c r="P2971" s="368" t="str">
        <f t="shared" si="69"/>
        <v>Expense</v>
      </c>
      <c r="Q2971" s="366" t="s">
        <v>2204</v>
      </c>
      <c r="R2971" s="365">
        <v>45931</v>
      </c>
      <c r="S2971" s="366">
        <v>530480</v>
      </c>
    </row>
    <row r="2972" spans="1:19" ht="15" hidden="1" outlineLevel="1">
      <c r="B2972" s="384">
        <v>2026</v>
      </c>
      <c r="C2972" s="384">
        <v>4</v>
      </c>
      <c r="D2972" s="367" t="s">
        <v>5</v>
      </c>
      <c r="E2972" s="367" t="s">
        <v>6</v>
      </c>
      <c r="F2972" s="389" t="s">
        <v>4826</v>
      </c>
      <c r="G2972" s="385">
        <v>45959</v>
      </c>
      <c r="H2972" s="367" t="s">
        <v>7</v>
      </c>
      <c r="I2972" s="368" t="str">
        <f>VLOOKUP(H2972,'Source Codes'!A$2:B$115,2,FALSE)</f>
        <v>HRMS Interface Journals</v>
      </c>
      <c r="J2972" s="422">
        <v>-66599729.450000003</v>
      </c>
      <c r="K2972" s="385">
        <v>45964</v>
      </c>
      <c r="L2972" s="369" t="s">
        <v>406</v>
      </c>
      <c r="M2972" s="390">
        <v>45964.35528935185</v>
      </c>
      <c r="N2972" s="366" t="s">
        <v>378</v>
      </c>
      <c r="O2972" s="367" t="s">
        <v>371</v>
      </c>
      <c r="P2972" s="368" t="str">
        <f t="shared" si="69"/>
        <v>Expense</v>
      </c>
      <c r="Q2972" s="366" t="s">
        <v>379</v>
      </c>
      <c r="R2972" s="366" t="s">
        <v>4831</v>
      </c>
      <c r="S2972" s="366" t="s">
        <v>203</v>
      </c>
    </row>
    <row r="2973" spans="1:19" ht="12.75" customHeight="1" collapsed="1">
      <c r="J2973" s="413">
        <f>SUM(J2964:J2972)</f>
        <v>-78809367.189999998</v>
      </c>
    </row>
    <row r="2975" spans="1:19" ht="12.75" customHeight="1">
      <c r="A2975" s="378" t="s">
        <v>4866</v>
      </c>
    </row>
    <row r="2976" spans="1:19" ht="30" hidden="1" outlineLevel="1">
      <c r="B2976" s="384">
        <v>2026</v>
      </c>
      <c r="C2976" s="384">
        <v>5</v>
      </c>
      <c r="D2976" s="367" t="s">
        <v>5</v>
      </c>
      <c r="E2976" s="367" t="s">
        <v>6</v>
      </c>
      <c r="F2976" s="389" t="s">
        <v>4832</v>
      </c>
      <c r="G2976" s="385">
        <v>45965</v>
      </c>
      <c r="H2976" s="367" t="s">
        <v>14</v>
      </c>
      <c r="I2976" s="368" t="str">
        <f>VLOOKUP(H2976,'Source Codes'!A$2:B$115,2,FALSE)</f>
        <v>AP Warrant Issuance</v>
      </c>
      <c r="J2976" s="422">
        <v>-1075785.23</v>
      </c>
      <c r="K2976" s="385">
        <v>45965</v>
      </c>
      <c r="L2976" s="369" t="s">
        <v>4855</v>
      </c>
      <c r="M2976" s="390">
        <v>45965.758414351854</v>
      </c>
      <c r="N2976" s="366" t="s">
        <v>356</v>
      </c>
      <c r="O2976" s="367" t="s">
        <v>368</v>
      </c>
      <c r="P2976" s="368" t="str">
        <f t="shared" ref="P2976:P2989" si="70">IF(J2976&gt;0,"Revenue",IF(J2976&lt;0,"Expense"))</f>
        <v>Expense</v>
      </c>
      <c r="Q2976" s="366" t="s">
        <v>2154</v>
      </c>
      <c r="R2976" s="366" t="s">
        <v>2154</v>
      </c>
      <c r="S2976" s="366" t="s">
        <v>203</v>
      </c>
    </row>
    <row r="2977" spans="1:19" ht="30" hidden="1" outlineLevel="1">
      <c r="B2977" s="384">
        <v>2026</v>
      </c>
      <c r="C2977" s="384">
        <v>4</v>
      </c>
      <c r="D2977" s="367" t="s">
        <v>5</v>
      </c>
      <c r="E2977" s="367" t="s">
        <v>6</v>
      </c>
      <c r="F2977" s="389" t="s">
        <v>4833</v>
      </c>
      <c r="G2977" s="385">
        <v>45952</v>
      </c>
      <c r="H2977" s="367" t="s">
        <v>9</v>
      </c>
      <c r="I2977" s="368" t="str">
        <f>VLOOKUP(H2977,'Source Codes'!A$2:B$115,2,FALSE)</f>
        <v>On Line Journal Entries</v>
      </c>
      <c r="J2977" s="422">
        <v>5366528</v>
      </c>
      <c r="K2977" s="385">
        <v>45965</v>
      </c>
      <c r="L2977" s="369" t="s">
        <v>334</v>
      </c>
      <c r="M2977" s="390">
        <v>45965.539733796293</v>
      </c>
      <c r="N2977" s="368" t="s">
        <v>359</v>
      </c>
      <c r="O2977" s="368" t="s">
        <v>364</v>
      </c>
      <c r="P2977" s="368" t="str">
        <f t="shared" si="70"/>
        <v>Revenue</v>
      </c>
      <c r="Q2977" s="366" t="s">
        <v>2232</v>
      </c>
      <c r="R2977" s="366" t="s">
        <v>2232</v>
      </c>
      <c r="S2977" s="366">
        <v>750741</v>
      </c>
    </row>
    <row r="2978" spans="1:19" ht="30" hidden="1" outlineLevel="1">
      <c r="B2978" s="384">
        <v>2026</v>
      </c>
      <c r="C2978" s="384">
        <v>4</v>
      </c>
      <c r="D2978" s="367" t="s">
        <v>5</v>
      </c>
      <c r="E2978" s="367" t="s">
        <v>6</v>
      </c>
      <c r="F2978" s="389" t="s">
        <v>4834</v>
      </c>
      <c r="G2978" s="385">
        <v>45952</v>
      </c>
      <c r="H2978" s="367" t="s">
        <v>9</v>
      </c>
      <c r="I2978" s="368" t="str">
        <f>VLOOKUP(H2978,'Source Codes'!A$2:B$115,2,FALSE)</f>
        <v>On Line Journal Entries</v>
      </c>
      <c r="J2978" s="422">
        <v>5356507</v>
      </c>
      <c r="K2978" s="385">
        <v>45965</v>
      </c>
      <c r="L2978" s="369" t="s">
        <v>334</v>
      </c>
      <c r="M2978" s="390">
        <v>45965.540092592593</v>
      </c>
      <c r="N2978" s="368" t="s">
        <v>359</v>
      </c>
      <c r="O2978" s="368" t="s">
        <v>364</v>
      </c>
      <c r="P2978" s="368" t="str">
        <f t="shared" si="70"/>
        <v>Revenue</v>
      </c>
      <c r="Q2978" s="366" t="s">
        <v>2232</v>
      </c>
      <c r="R2978" s="366" t="s">
        <v>2232</v>
      </c>
      <c r="S2978" s="366">
        <v>750741</v>
      </c>
    </row>
    <row r="2979" spans="1:19" ht="15" hidden="1" outlineLevel="1">
      <c r="B2979" s="384">
        <v>2026</v>
      </c>
      <c r="C2979" s="384">
        <v>5</v>
      </c>
      <c r="D2979" s="367" t="s">
        <v>5</v>
      </c>
      <c r="E2979" s="367" t="s">
        <v>6</v>
      </c>
      <c r="F2979" s="389" t="s">
        <v>4835</v>
      </c>
      <c r="G2979" s="385">
        <v>45965</v>
      </c>
      <c r="H2979" s="367" t="s">
        <v>9</v>
      </c>
      <c r="I2979" s="368" t="str">
        <f>VLOOKUP(H2979,'Source Codes'!A$2:B$115,2,FALSE)</f>
        <v>On Line Journal Entries</v>
      </c>
      <c r="J2979" s="422">
        <v>-1542083</v>
      </c>
      <c r="K2979" s="385">
        <v>45965</v>
      </c>
      <c r="L2979" s="369" t="s">
        <v>4846</v>
      </c>
      <c r="M2979" s="390">
        <v>45965.538483796299</v>
      </c>
      <c r="N2979" s="368" t="s">
        <v>359</v>
      </c>
      <c r="O2979" s="368" t="s">
        <v>368</v>
      </c>
      <c r="P2979" s="368" t="str">
        <f t="shared" si="70"/>
        <v>Expense</v>
      </c>
      <c r="Q2979" s="366" t="s">
        <v>2219</v>
      </c>
      <c r="R2979" s="366" t="s">
        <v>4856</v>
      </c>
      <c r="S2979" s="366">
        <v>530280</v>
      </c>
    </row>
    <row r="2980" spans="1:19" ht="15" hidden="1" outlineLevel="1">
      <c r="B2980" s="384">
        <v>2026</v>
      </c>
      <c r="C2980" s="384">
        <v>5</v>
      </c>
      <c r="D2980" s="367" t="s">
        <v>5</v>
      </c>
      <c r="E2980" s="367" t="s">
        <v>6</v>
      </c>
      <c r="F2980" s="389" t="s">
        <v>4836</v>
      </c>
      <c r="G2980" s="385">
        <v>45965</v>
      </c>
      <c r="H2980" s="367" t="s">
        <v>9</v>
      </c>
      <c r="I2980" s="368" t="str">
        <f>VLOOKUP(H2980,'Source Codes'!A$2:B$115,2,FALSE)</f>
        <v>On Line Journal Entries</v>
      </c>
      <c r="J2980" s="422">
        <v>-1542083</v>
      </c>
      <c r="K2980" s="385">
        <v>45965</v>
      </c>
      <c r="L2980" s="369" t="s">
        <v>4847</v>
      </c>
      <c r="M2980" s="390">
        <v>45965.542060185187</v>
      </c>
      <c r="N2980" s="368" t="s">
        <v>359</v>
      </c>
      <c r="O2980" s="368" t="s">
        <v>368</v>
      </c>
      <c r="P2980" s="368" t="str">
        <f t="shared" si="70"/>
        <v>Expense</v>
      </c>
      <c r="Q2980" s="366" t="s">
        <v>2219</v>
      </c>
      <c r="R2980" s="366" t="s">
        <v>4857</v>
      </c>
      <c r="S2980" s="366">
        <v>530280</v>
      </c>
    </row>
    <row r="2981" spans="1:19" ht="15" hidden="1" outlineLevel="1">
      <c r="B2981" s="384">
        <v>2026</v>
      </c>
      <c r="C2981" s="384">
        <v>5</v>
      </c>
      <c r="D2981" s="367" t="s">
        <v>5</v>
      </c>
      <c r="E2981" s="367" t="s">
        <v>6</v>
      </c>
      <c r="F2981" s="389" t="s">
        <v>4837</v>
      </c>
      <c r="G2981" s="385">
        <v>45962</v>
      </c>
      <c r="H2981" s="367" t="s">
        <v>9</v>
      </c>
      <c r="I2981" s="368" t="str">
        <f>VLOOKUP(H2981,'Source Codes'!A$2:B$115,2,FALSE)</f>
        <v>On Line Journal Entries</v>
      </c>
      <c r="J2981" s="422">
        <v>-1712372.49</v>
      </c>
      <c r="K2981" s="385">
        <v>45965</v>
      </c>
      <c r="L2981" s="369" t="s">
        <v>4848</v>
      </c>
      <c r="M2981" s="390">
        <v>45965.658483796295</v>
      </c>
      <c r="N2981" s="366" t="s">
        <v>356</v>
      </c>
      <c r="O2981" s="367" t="s">
        <v>373</v>
      </c>
      <c r="P2981" s="368" t="str">
        <f t="shared" si="70"/>
        <v>Expense</v>
      </c>
      <c r="Q2981" s="366" t="s">
        <v>2476</v>
      </c>
      <c r="R2981" s="366" t="s">
        <v>4858</v>
      </c>
      <c r="S2981" s="366">
        <v>520945</v>
      </c>
    </row>
    <row r="2982" spans="1:19" ht="15" hidden="1" outlineLevel="1">
      <c r="B2982" s="384">
        <v>2026</v>
      </c>
      <c r="C2982" s="384">
        <v>5</v>
      </c>
      <c r="D2982" s="367" t="s">
        <v>5</v>
      </c>
      <c r="E2982" s="367" t="s">
        <v>6</v>
      </c>
      <c r="F2982" s="389" t="s">
        <v>4838</v>
      </c>
      <c r="G2982" s="385">
        <v>45962</v>
      </c>
      <c r="H2982" s="367" t="s">
        <v>9</v>
      </c>
      <c r="I2982" s="368" t="str">
        <f>VLOOKUP(H2982,'Source Codes'!A$2:B$115,2,FALSE)</f>
        <v>On Line Journal Entries</v>
      </c>
      <c r="J2982" s="422">
        <v>-4444115.4000000004</v>
      </c>
      <c r="K2982" s="385">
        <v>45965</v>
      </c>
      <c r="L2982" s="369" t="s">
        <v>4849</v>
      </c>
      <c r="M2982" s="390">
        <v>45965.654849537037</v>
      </c>
      <c r="N2982" s="366" t="s">
        <v>356</v>
      </c>
      <c r="O2982" s="367" t="s">
        <v>373</v>
      </c>
      <c r="P2982" s="368" t="str">
        <f t="shared" si="70"/>
        <v>Expense</v>
      </c>
      <c r="Q2982" s="366" t="s">
        <v>2517</v>
      </c>
      <c r="R2982" s="366" t="s">
        <v>4859</v>
      </c>
      <c r="S2982" s="366">
        <v>517000</v>
      </c>
    </row>
    <row r="2983" spans="1:19" ht="30" hidden="1" outlineLevel="1">
      <c r="B2983" s="384">
        <v>2026</v>
      </c>
      <c r="C2983" s="384">
        <v>5</v>
      </c>
      <c r="D2983" s="367" t="s">
        <v>5</v>
      </c>
      <c r="E2983" s="367" t="s">
        <v>6</v>
      </c>
      <c r="F2983" s="389" t="s">
        <v>4839</v>
      </c>
      <c r="G2983" s="385">
        <v>45962</v>
      </c>
      <c r="H2983" s="367" t="s">
        <v>9</v>
      </c>
      <c r="I2983" s="368" t="str">
        <f>VLOOKUP(H2983,'Source Codes'!A$2:B$115,2,FALSE)</f>
        <v>On Line Journal Entries</v>
      </c>
      <c r="J2983" s="422">
        <v>-5535427.9900000002</v>
      </c>
      <c r="K2983" s="385">
        <v>45965</v>
      </c>
      <c r="L2983" s="369" t="s">
        <v>4744</v>
      </c>
      <c r="M2983" s="390">
        <v>45965.63521990741</v>
      </c>
      <c r="N2983" s="366" t="s">
        <v>359</v>
      </c>
      <c r="O2983" s="367" t="s">
        <v>374</v>
      </c>
      <c r="P2983" s="368" t="str">
        <f t="shared" si="70"/>
        <v>Expense</v>
      </c>
      <c r="Q2983" s="366" t="s">
        <v>2202</v>
      </c>
      <c r="R2983" s="366" t="s">
        <v>5073</v>
      </c>
      <c r="S2983" s="366">
        <v>525840</v>
      </c>
    </row>
    <row r="2984" spans="1:19" ht="45" hidden="1" outlineLevel="1">
      <c r="B2984" s="384">
        <v>2026</v>
      </c>
      <c r="C2984" s="384">
        <v>5</v>
      </c>
      <c r="D2984" s="367" t="s">
        <v>5</v>
      </c>
      <c r="E2984" s="367" t="s">
        <v>6</v>
      </c>
      <c r="F2984" s="389" t="s">
        <v>4840</v>
      </c>
      <c r="G2984" s="385">
        <v>45965</v>
      </c>
      <c r="H2984" s="367" t="s">
        <v>9</v>
      </c>
      <c r="I2984" s="368" t="str">
        <f>VLOOKUP(H2984,'Source Codes'!A$2:B$115,2,FALSE)</f>
        <v>On Line Journal Entries</v>
      </c>
      <c r="J2984" s="422">
        <v>-6660875</v>
      </c>
      <c r="K2984" s="385">
        <v>45965</v>
      </c>
      <c r="L2984" s="369" t="s">
        <v>4850</v>
      </c>
      <c r="M2984" s="390">
        <v>45965.54482638889</v>
      </c>
      <c r="N2984" s="366" t="s">
        <v>359</v>
      </c>
      <c r="O2984" s="367" t="s">
        <v>368</v>
      </c>
      <c r="P2984" s="368" t="str">
        <f t="shared" si="70"/>
        <v>Expense</v>
      </c>
      <c r="Q2984" s="366" t="s">
        <v>2270</v>
      </c>
      <c r="R2984" s="366" t="s">
        <v>4860</v>
      </c>
      <c r="S2984" s="366">
        <v>530280</v>
      </c>
    </row>
    <row r="2985" spans="1:19" ht="45" hidden="1" outlineLevel="1">
      <c r="B2985" s="384">
        <v>2026</v>
      </c>
      <c r="C2985" s="384">
        <v>5</v>
      </c>
      <c r="D2985" s="367" t="s">
        <v>5</v>
      </c>
      <c r="E2985" s="367" t="s">
        <v>6</v>
      </c>
      <c r="F2985" s="389" t="s">
        <v>4841</v>
      </c>
      <c r="G2985" s="385">
        <v>45965</v>
      </c>
      <c r="H2985" s="367" t="s">
        <v>9</v>
      </c>
      <c r="I2985" s="368" t="str">
        <f>VLOOKUP(H2985,'Source Codes'!A$2:B$115,2,FALSE)</f>
        <v>On Line Journal Entries</v>
      </c>
      <c r="J2985" s="422">
        <v>-6660875</v>
      </c>
      <c r="K2985" s="385">
        <v>45965</v>
      </c>
      <c r="L2985" s="369" t="s">
        <v>4851</v>
      </c>
      <c r="M2985" s="390">
        <v>45965.543807870374</v>
      </c>
      <c r="N2985" s="366" t="s">
        <v>359</v>
      </c>
      <c r="O2985" s="367" t="s">
        <v>368</v>
      </c>
      <c r="P2985" s="368" t="str">
        <f t="shared" si="70"/>
        <v>Expense</v>
      </c>
      <c r="Q2985" s="366" t="s">
        <v>2270</v>
      </c>
      <c r="R2985" s="366" t="s">
        <v>4861</v>
      </c>
      <c r="S2985" s="366">
        <v>530280</v>
      </c>
    </row>
    <row r="2986" spans="1:19" ht="30" hidden="1" outlineLevel="1">
      <c r="B2986" s="384">
        <v>2026</v>
      </c>
      <c r="C2986" s="384">
        <v>5</v>
      </c>
      <c r="D2986" s="367" t="s">
        <v>5</v>
      </c>
      <c r="E2986" s="367" t="s">
        <v>6</v>
      </c>
      <c r="F2986" s="389" t="s">
        <v>4842</v>
      </c>
      <c r="G2986" s="385">
        <v>45962</v>
      </c>
      <c r="H2986" s="367" t="s">
        <v>9</v>
      </c>
      <c r="I2986" s="368" t="str">
        <f>VLOOKUP(H2986,'Source Codes'!A$2:B$115,2,FALSE)</f>
        <v>On Line Journal Entries</v>
      </c>
      <c r="J2986" s="422">
        <v>-7576523.54</v>
      </c>
      <c r="K2986" s="385">
        <v>45965</v>
      </c>
      <c r="L2986" s="369" t="s">
        <v>4852</v>
      </c>
      <c r="M2986" s="390">
        <v>45965.415347222224</v>
      </c>
      <c r="N2986" s="366" t="s">
        <v>356</v>
      </c>
      <c r="O2986" s="367" t="s">
        <v>373</v>
      </c>
      <c r="P2986" s="368" t="str">
        <f t="shared" si="70"/>
        <v>Expense</v>
      </c>
      <c r="Q2986" s="366" t="s">
        <v>2569</v>
      </c>
      <c r="R2986" s="366" t="s">
        <v>4862</v>
      </c>
      <c r="S2986" s="366">
        <v>520930</v>
      </c>
    </row>
    <row r="2987" spans="1:19" ht="15" hidden="1" outlineLevel="1">
      <c r="B2987" s="384">
        <v>2026</v>
      </c>
      <c r="C2987" s="384">
        <v>5</v>
      </c>
      <c r="D2987" s="367" t="s">
        <v>5</v>
      </c>
      <c r="E2987" s="367" t="s">
        <v>6</v>
      </c>
      <c r="F2987" s="389" t="s">
        <v>4843</v>
      </c>
      <c r="G2987" s="385">
        <v>45964</v>
      </c>
      <c r="H2987" s="367" t="s">
        <v>13</v>
      </c>
      <c r="I2987" s="368" t="str">
        <f>VLOOKUP(H2987,'Source Codes'!A$2:B$115,2,FALSE)</f>
        <v>C-IV Voucher/Payments/EBT</v>
      </c>
      <c r="J2987" s="422">
        <v>-10191891.42</v>
      </c>
      <c r="K2987" s="385">
        <v>45965</v>
      </c>
      <c r="L2987" s="369" t="s">
        <v>4853</v>
      </c>
      <c r="M2987" s="390">
        <v>45965.426655092589</v>
      </c>
      <c r="N2987" s="366" t="s">
        <v>356</v>
      </c>
      <c r="O2987" s="367" t="s">
        <v>364</v>
      </c>
      <c r="P2987" s="368" t="str">
        <f t="shared" si="70"/>
        <v>Expense</v>
      </c>
      <c r="Q2987" s="366" t="s">
        <v>2204</v>
      </c>
      <c r="R2987" s="365">
        <v>45964</v>
      </c>
      <c r="S2987" s="366">
        <v>530480</v>
      </c>
    </row>
    <row r="2988" spans="1:19" ht="15" hidden="1" outlineLevel="1">
      <c r="B2988" s="384">
        <v>2026</v>
      </c>
      <c r="C2988" s="384">
        <v>5</v>
      </c>
      <c r="D2988" s="367" t="s">
        <v>5</v>
      </c>
      <c r="E2988" s="367" t="s">
        <v>6</v>
      </c>
      <c r="F2988" s="389" t="s">
        <v>4844</v>
      </c>
      <c r="G2988" s="385">
        <v>45964</v>
      </c>
      <c r="H2988" s="367" t="s">
        <v>13</v>
      </c>
      <c r="I2988" s="368" t="str">
        <f>VLOOKUP(H2988,'Source Codes'!A$2:B$115,2,FALSE)</f>
        <v>C-IV Voucher/Payments/EBT</v>
      </c>
      <c r="J2988" s="422">
        <v>-16656733.83</v>
      </c>
      <c r="K2988" s="385">
        <v>45965</v>
      </c>
      <c r="L2988" s="369" t="s">
        <v>4854</v>
      </c>
      <c r="M2988" s="390">
        <v>45965.535243055558</v>
      </c>
      <c r="N2988" s="366" t="s">
        <v>356</v>
      </c>
      <c r="O2988" s="367" t="s">
        <v>364</v>
      </c>
      <c r="P2988" s="368" t="str">
        <f t="shared" si="70"/>
        <v>Expense</v>
      </c>
      <c r="Q2988" s="366" t="s">
        <v>2204</v>
      </c>
      <c r="R2988" s="365">
        <v>45960</v>
      </c>
      <c r="S2988" s="366">
        <v>530480</v>
      </c>
    </row>
    <row r="2989" spans="1:19" ht="15" hidden="1" outlineLevel="1">
      <c r="B2989" s="384">
        <v>2026</v>
      </c>
      <c r="C2989" s="384">
        <v>5</v>
      </c>
      <c r="D2989" s="367" t="s">
        <v>5</v>
      </c>
      <c r="E2989" s="367" t="s">
        <v>6</v>
      </c>
      <c r="F2989" s="389" t="s">
        <v>4845</v>
      </c>
      <c r="G2989" s="385">
        <v>45965</v>
      </c>
      <c r="H2989" s="367" t="s">
        <v>9</v>
      </c>
      <c r="I2989" s="368" t="str">
        <f>VLOOKUP(H2989,'Source Codes'!A$2:B$115,2,FALSE)</f>
        <v>On Line Journal Entries</v>
      </c>
      <c r="J2989" s="422">
        <v>-76000000</v>
      </c>
      <c r="K2989" s="385">
        <v>45965</v>
      </c>
      <c r="L2989" s="369" t="s">
        <v>4863</v>
      </c>
      <c r="M2989" s="390">
        <v>45965.545949074076</v>
      </c>
      <c r="N2989" s="368" t="s">
        <v>2185</v>
      </c>
      <c r="O2989" s="367" t="s">
        <v>368</v>
      </c>
      <c r="P2989" s="368" t="str">
        <f t="shared" si="70"/>
        <v>Expense</v>
      </c>
      <c r="Q2989" s="366" t="s">
        <v>4892</v>
      </c>
      <c r="R2989" s="366" t="s">
        <v>4864</v>
      </c>
      <c r="S2989" s="366" t="s">
        <v>4865</v>
      </c>
    </row>
    <row r="2990" spans="1:19" ht="12.75" customHeight="1" collapsed="1">
      <c r="J2990" s="413">
        <f>SUM(J2976:J2989)</f>
        <v>-128875730.90000001</v>
      </c>
    </row>
    <row r="2992" spans="1:19" ht="12.75" customHeight="1">
      <c r="A2992" s="378" t="s">
        <v>4867</v>
      </c>
    </row>
    <row r="2993" spans="1:19" ht="30" hidden="1" outlineLevel="1">
      <c r="B2993" s="384">
        <v>2026</v>
      </c>
      <c r="C2993" s="384">
        <v>5</v>
      </c>
      <c r="D2993" s="367" t="s">
        <v>5</v>
      </c>
      <c r="E2993" s="367" t="s">
        <v>6</v>
      </c>
      <c r="F2993" s="389" t="s">
        <v>4868</v>
      </c>
      <c r="G2993" s="385">
        <v>45966</v>
      </c>
      <c r="H2993" s="367" t="s">
        <v>14</v>
      </c>
      <c r="I2993" s="368" t="str">
        <f>VLOOKUP(H2993,'Source Codes'!A$2:B$115,2,FALSE)</f>
        <v>AP Warrant Issuance</v>
      </c>
      <c r="J2993" s="422">
        <v>-1376751.53</v>
      </c>
      <c r="K2993" s="385">
        <v>45966</v>
      </c>
      <c r="L2993" s="369" t="s">
        <v>4872</v>
      </c>
      <c r="M2993" s="390">
        <v>45966.758171296293</v>
      </c>
      <c r="N2993" s="366" t="s">
        <v>359</v>
      </c>
      <c r="O2993" s="367" t="s">
        <v>368</v>
      </c>
      <c r="P2993" s="368" t="str">
        <f t="shared" ref="P2993:P2996" si="71">IF(J2993&gt;0,"Revenue",IF(J2993&lt;0,"Expense"))</f>
        <v>Expense</v>
      </c>
      <c r="Q2993" s="366" t="s">
        <v>2154</v>
      </c>
      <c r="R2993" s="366" t="s">
        <v>2154</v>
      </c>
      <c r="S2993" s="366" t="s">
        <v>203</v>
      </c>
    </row>
    <row r="2994" spans="1:19" ht="30" hidden="1" outlineLevel="1">
      <c r="B2994" s="384">
        <v>2026</v>
      </c>
      <c r="C2994" s="384">
        <v>5</v>
      </c>
      <c r="D2994" s="367" t="s">
        <v>5</v>
      </c>
      <c r="E2994" s="367" t="s">
        <v>6</v>
      </c>
      <c r="F2994" s="389" t="s">
        <v>4869</v>
      </c>
      <c r="G2994" s="385">
        <v>45965</v>
      </c>
      <c r="H2994" s="367" t="s">
        <v>12</v>
      </c>
      <c r="I2994" s="368" t="str">
        <f>VLOOKUP(H2994,'Source Codes'!A$2:B$115,2,FALSE)</f>
        <v>AR Direct Cash Journal</v>
      </c>
      <c r="J2994" s="422">
        <v>1176811.02</v>
      </c>
      <c r="K2994" s="385">
        <v>45966</v>
      </c>
      <c r="L2994" s="369" t="s">
        <v>4874</v>
      </c>
      <c r="M2994" s="390">
        <v>45966.752326388887</v>
      </c>
      <c r="N2994" s="366" t="s">
        <v>356</v>
      </c>
      <c r="O2994" s="367" t="s">
        <v>362</v>
      </c>
      <c r="P2994" s="368" t="str">
        <f t="shared" si="71"/>
        <v>Revenue</v>
      </c>
      <c r="Q2994" s="366" t="s">
        <v>2360</v>
      </c>
      <c r="R2994" s="366" t="s">
        <v>2715</v>
      </c>
      <c r="S2994" s="366" t="s">
        <v>4873</v>
      </c>
    </row>
    <row r="2995" spans="1:19" ht="30" hidden="1" outlineLevel="1">
      <c r="B2995" s="384">
        <v>2026</v>
      </c>
      <c r="C2995" s="384">
        <v>4</v>
      </c>
      <c r="D2995" s="367" t="s">
        <v>5</v>
      </c>
      <c r="E2995" s="367" t="s">
        <v>6</v>
      </c>
      <c r="F2995" s="389" t="s">
        <v>4870</v>
      </c>
      <c r="G2995" s="385">
        <v>45952</v>
      </c>
      <c r="H2995" s="367" t="s">
        <v>9</v>
      </c>
      <c r="I2995" s="368" t="str">
        <f>VLOOKUP(H2995,'Source Codes'!A$2:B$115,2,FALSE)</f>
        <v>On Line Journal Entries</v>
      </c>
      <c r="J2995" s="422">
        <v>3580453</v>
      </c>
      <c r="K2995" s="385">
        <v>45966</v>
      </c>
      <c r="L2995" s="369" t="s">
        <v>344</v>
      </c>
      <c r="M2995" s="390">
        <v>45966.641412037039</v>
      </c>
      <c r="N2995" s="368" t="s">
        <v>359</v>
      </c>
      <c r="O2995" s="367" t="s">
        <v>364</v>
      </c>
      <c r="P2995" s="368" t="str">
        <f t="shared" si="71"/>
        <v>Revenue</v>
      </c>
      <c r="Q2995" s="366" t="s">
        <v>2232</v>
      </c>
      <c r="R2995" s="366" t="s">
        <v>2232</v>
      </c>
      <c r="S2995" s="366" t="s">
        <v>2594</v>
      </c>
    </row>
    <row r="2996" spans="1:19" ht="30" hidden="1" outlineLevel="1">
      <c r="B2996" s="384">
        <v>2026</v>
      </c>
      <c r="C2996" s="384">
        <v>4</v>
      </c>
      <c r="D2996" s="367" t="s">
        <v>5</v>
      </c>
      <c r="E2996" s="367" t="s">
        <v>6</v>
      </c>
      <c r="F2996" s="389" t="s">
        <v>4871</v>
      </c>
      <c r="G2996" s="385">
        <v>45945</v>
      </c>
      <c r="H2996" s="367" t="s">
        <v>9</v>
      </c>
      <c r="I2996" s="368" t="str">
        <f>VLOOKUP(H2996,'Source Codes'!A$2:B$115,2,FALSE)</f>
        <v>On Line Journal Entries</v>
      </c>
      <c r="J2996" s="422">
        <v>2134874</v>
      </c>
      <c r="K2996" s="385">
        <v>45966</v>
      </c>
      <c r="L2996" s="369" t="s">
        <v>344</v>
      </c>
      <c r="M2996" s="390">
        <v>45966.640717592592</v>
      </c>
      <c r="N2996" s="368" t="s">
        <v>359</v>
      </c>
      <c r="O2996" s="367" t="s">
        <v>364</v>
      </c>
      <c r="P2996" s="368" t="str">
        <f t="shared" si="71"/>
        <v>Revenue</v>
      </c>
      <c r="Q2996" s="366" t="s">
        <v>2232</v>
      </c>
      <c r="R2996" s="366" t="s">
        <v>2232</v>
      </c>
      <c r="S2996" s="366" t="s">
        <v>2233</v>
      </c>
    </row>
    <row r="2997" spans="1:19" ht="12.75" customHeight="1" collapsed="1">
      <c r="J2997" s="413">
        <f>SUM(J2993:J2996)</f>
        <v>5515386.4900000002</v>
      </c>
    </row>
    <row r="2999" spans="1:19" ht="12.75" customHeight="1">
      <c r="A2999" s="378" t="s">
        <v>4875</v>
      </c>
    </row>
    <row r="3000" spans="1:19" ht="60" hidden="1" outlineLevel="1">
      <c r="B3000" s="384">
        <v>2026</v>
      </c>
      <c r="C3000" s="384">
        <v>5</v>
      </c>
      <c r="D3000" s="367" t="s">
        <v>5</v>
      </c>
      <c r="E3000" s="367" t="s">
        <v>6</v>
      </c>
      <c r="F3000" s="389" t="s">
        <v>4876</v>
      </c>
      <c r="G3000" s="385">
        <v>45971</v>
      </c>
      <c r="H3000" s="367" t="s">
        <v>14</v>
      </c>
      <c r="I3000" s="368" t="str">
        <f>VLOOKUP(H3000,'Source Codes'!A$2:B$115,2,FALSE)</f>
        <v>AP Warrant Issuance</v>
      </c>
      <c r="J3000" s="422">
        <v>-5738284.1900000004</v>
      </c>
      <c r="K3000" s="385">
        <v>45967</v>
      </c>
      <c r="L3000" s="369" t="s">
        <v>4884</v>
      </c>
      <c r="M3000" s="390">
        <v>45967.758981481478</v>
      </c>
      <c r="N3000" s="368" t="s">
        <v>359</v>
      </c>
      <c r="O3000" s="367" t="s">
        <v>364</v>
      </c>
      <c r="P3000" s="368" t="str">
        <f t="shared" ref="P3000:P3005" si="72">IF(J3000&gt;0,"Revenue",IF(J3000&lt;0,"Expense"))</f>
        <v>Expense</v>
      </c>
      <c r="Q3000" s="366" t="s">
        <v>2254</v>
      </c>
      <c r="R3000" s="365">
        <v>45962</v>
      </c>
      <c r="S3000" s="366">
        <v>530440</v>
      </c>
    </row>
    <row r="3001" spans="1:19" ht="75" hidden="1" outlineLevel="1">
      <c r="B3001" s="384">
        <v>2026</v>
      </c>
      <c r="C3001" s="384">
        <v>5</v>
      </c>
      <c r="D3001" s="367" t="s">
        <v>5</v>
      </c>
      <c r="E3001" s="367" t="s">
        <v>6</v>
      </c>
      <c r="F3001" s="389" t="s">
        <v>4877</v>
      </c>
      <c r="G3001" s="385">
        <v>45966</v>
      </c>
      <c r="H3001" s="367" t="s">
        <v>11</v>
      </c>
      <c r="I3001" s="368" t="str">
        <f>VLOOKUP(H3001,'Source Codes'!A$2:B$115,2,FALSE)</f>
        <v>AR Payments</v>
      </c>
      <c r="J3001" s="422">
        <v>1327742.55</v>
      </c>
      <c r="K3001" s="385">
        <v>45967</v>
      </c>
      <c r="L3001" s="369" t="s">
        <v>4885</v>
      </c>
      <c r="M3001" s="390">
        <v>45967.752175925925</v>
      </c>
      <c r="N3001" s="368" t="s">
        <v>359</v>
      </c>
      <c r="O3001" s="367" t="s">
        <v>357</v>
      </c>
      <c r="P3001" s="368" t="str">
        <f t="shared" si="72"/>
        <v>Revenue</v>
      </c>
      <c r="Q3001" s="366" t="s">
        <v>2157</v>
      </c>
      <c r="R3001" s="366" t="s">
        <v>2157</v>
      </c>
      <c r="S3001" s="366" t="s">
        <v>2803</v>
      </c>
    </row>
    <row r="3002" spans="1:19" ht="30" hidden="1" outlineLevel="1">
      <c r="B3002" s="384">
        <v>2026</v>
      </c>
      <c r="C3002" s="384">
        <v>5</v>
      </c>
      <c r="D3002" s="367" t="s">
        <v>5</v>
      </c>
      <c r="E3002" s="367" t="s">
        <v>6</v>
      </c>
      <c r="F3002" s="389" t="s">
        <v>4878</v>
      </c>
      <c r="G3002" s="385">
        <v>45963</v>
      </c>
      <c r="H3002" s="367" t="s">
        <v>9</v>
      </c>
      <c r="I3002" s="368" t="str">
        <f>VLOOKUP(H3002,'Source Codes'!A$2:B$115,2,FALSE)</f>
        <v>On Line Journal Entries</v>
      </c>
      <c r="J3002" s="422">
        <v>2837998</v>
      </c>
      <c r="K3002" s="385">
        <v>45967</v>
      </c>
      <c r="L3002" s="369" t="s">
        <v>4882</v>
      </c>
      <c r="M3002" s="390">
        <v>45967.356932870367</v>
      </c>
      <c r="N3002" s="368" t="s">
        <v>361</v>
      </c>
      <c r="O3002" s="367" t="s">
        <v>357</v>
      </c>
      <c r="P3002" s="368" t="str">
        <f t="shared" si="72"/>
        <v>Revenue</v>
      </c>
      <c r="Q3002" s="366" t="s">
        <v>2671</v>
      </c>
      <c r="R3002" s="366" t="s">
        <v>4189</v>
      </c>
      <c r="S3002" s="366">
        <v>755900</v>
      </c>
    </row>
    <row r="3003" spans="1:19" ht="60" hidden="1" outlineLevel="1">
      <c r="B3003" s="384">
        <v>2026</v>
      </c>
      <c r="C3003" s="384">
        <v>5</v>
      </c>
      <c r="D3003" s="367" t="s">
        <v>5</v>
      </c>
      <c r="E3003" s="367" t="s">
        <v>6</v>
      </c>
      <c r="F3003" s="389" t="s">
        <v>4879</v>
      </c>
      <c r="G3003" s="385">
        <v>45962</v>
      </c>
      <c r="H3003" s="367" t="s">
        <v>9</v>
      </c>
      <c r="I3003" s="368" t="str">
        <f>VLOOKUP(H3003,'Source Codes'!A$2:B$115,2,FALSE)</f>
        <v>On Line Journal Entries</v>
      </c>
      <c r="J3003" s="422">
        <v>2742968.43</v>
      </c>
      <c r="K3003" s="385">
        <v>45967</v>
      </c>
      <c r="L3003" s="369" t="s">
        <v>4883</v>
      </c>
      <c r="M3003" s="390">
        <v>45967.670393518521</v>
      </c>
      <c r="N3003" s="368" t="s">
        <v>2185</v>
      </c>
      <c r="O3003" s="367" t="s">
        <v>358</v>
      </c>
      <c r="P3003" s="368" t="str">
        <f t="shared" si="72"/>
        <v>Revenue</v>
      </c>
      <c r="Q3003" s="366" t="s">
        <v>4886</v>
      </c>
      <c r="R3003" s="366" t="s">
        <v>4887</v>
      </c>
      <c r="S3003" s="366">
        <v>778190</v>
      </c>
    </row>
    <row r="3004" spans="1:19" ht="45" hidden="1" outlineLevel="1">
      <c r="B3004" s="384">
        <v>2026</v>
      </c>
      <c r="C3004" s="384">
        <v>5</v>
      </c>
      <c r="D3004" s="367" t="s">
        <v>5</v>
      </c>
      <c r="E3004" s="367" t="s">
        <v>6</v>
      </c>
      <c r="F3004" s="389" t="s">
        <v>4880</v>
      </c>
      <c r="G3004" s="385">
        <v>45966</v>
      </c>
      <c r="H3004" s="367" t="s">
        <v>9</v>
      </c>
      <c r="I3004" s="368" t="str">
        <f>VLOOKUP(H3004,'Source Codes'!A$2:B$115,2,FALSE)</f>
        <v>On Line Journal Entries</v>
      </c>
      <c r="J3004" s="422">
        <v>-1375696</v>
      </c>
      <c r="K3004" s="385">
        <v>45967</v>
      </c>
      <c r="L3004" s="369" t="s">
        <v>3439</v>
      </c>
      <c r="M3004" s="390">
        <v>45967.353414351855</v>
      </c>
      <c r="N3004" s="368" t="s">
        <v>361</v>
      </c>
      <c r="O3004" s="367" t="s">
        <v>364</v>
      </c>
      <c r="P3004" s="368" t="str">
        <f t="shared" si="72"/>
        <v>Expense</v>
      </c>
      <c r="Q3004" s="366" t="s">
        <v>2232</v>
      </c>
      <c r="R3004" s="366" t="s">
        <v>2232</v>
      </c>
      <c r="S3004" s="366">
        <v>750740</v>
      </c>
    </row>
    <row r="3005" spans="1:19" ht="45" hidden="1" outlineLevel="1">
      <c r="B3005" s="384">
        <v>2026</v>
      </c>
      <c r="C3005" s="384">
        <v>5</v>
      </c>
      <c r="D3005" s="367" t="s">
        <v>5</v>
      </c>
      <c r="E3005" s="367" t="s">
        <v>6</v>
      </c>
      <c r="F3005" s="389" t="s">
        <v>4881</v>
      </c>
      <c r="G3005" s="385">
        <v>45966</v>
      </c>
      <c r="H3005" s="367" t="s">
        <v>9</v>
      </c>
      <c r="I3005" s="368" t="str">
        <f>VLOOKUP(H3005,'Source Codes'!A$2:B$115,2,FALSE)</f>
        <v>On Line Journal Entries</v>
      </c>
      <c r="J3005" s="422">
        <v>-1408104</v>
      </c>
      <c r="K3005" s="385">
        <v>45967</v>
      </c>
      <c r="L3005" s="369" t="s">
        <v>3439</v>
      </c>
      <c r="M3005" s="390">
        <v>45967.354131944441</v>
      </c>
      <c r="N3005" s="368" t="s">
        <v>361</v>
      </c>
      <c r="O3005" s="367" t="s">
        <v>364</v>
      </c>
      <c r="P3005" s="368" t="str">
        <f t="shared" si="72"/>
        <v>Expense</v>
      </c>
      <c r="Q3005" s="366" t="s">
        <v>2232</v>
      </c>
      <c r="R3005" s="366" t="s">
        <v>2232</v>
      </c>
      <c r="S3005" s="366">
        <v>750740</v>
      </c>
    </row>
    <row r="3006" spans="1:19" ht="12.75" customHeight="1" collapsed="1">
      <c r="J3006" s="413">
        <f>SUM(J3000:J3005)</f>
        <v>-1613375.2100000004</v>
      </c>
    </row>
    <row r="3008" spans="1:19" ht="12.75" customHeight="1">
      <c r="A3008" s="378" t="s">
        <v>4888</v>
      </c>
    </row>
    <row r="3009" spans="1:19" ht="60" hidden="1" outlineLevel="1">
      <c r="B3009" s="384">
        <v>2026</v>
      </c>
      <c r="C3009" s="384">
        <v>5</v>
      </c>
      <c r="D3009" s="367" t="s">
        <v>5</v>
      </c>
      <c r="E3009" s="367" t="s">
        <v>6</v>
      </c>
      <c r="F3009" s="389" t="s">
        <v>4889</v>
      </c>
      <c r="G3009" s="385">
        <v>45967</v>
      </c>
      <c r="H3009" s="367" t="s">
        <v>11</v>
      </c>
      <c r="I3009" s="368" t="str">
        <f>VLOOKUP(H3009,'Source Codes'!A$2:B$115,2,FALSE)</f>
        <v>AR Payments</v>
      </c>
      <c r="J3009" s="422">
        <v>1877375.44</v>
      </c>
      <c r="K3009" s="385">
        <v>45968</v>
      </c>
      <c r="L3009" s="369" t="s">
        <v>4893</v>
      </c>
      <c r="M3009" s="390">
        <v>45968.752743055556</v>
      </c>
      <c r="N3009" s="368" t="s">
        <v>359</v>
      </c>
      <c r="O3009" s="367" t="s">
        <v>357</v>
      </c>
      <c r="P3009" s="368" t="str">
        <f t="shared" ref="P3009:P3010" si="73">IF(J3009&gt;0,"Revenue",IF(J3009&lt;0,"Expense"))</f>
        <v>Revenue</v>
      </c>
      <c r="Q3009" s="366" t="s">
        <v>2157</v>
      </c>
      <c r="R3009" s="366" t="s">
        <v>2157</v>
      </c>
      <c r="S3009" s="366" t="s">
        <v>2531</v>
      </c>
    </row>
    <row r="3010" spans="1:19" ht="30" hidden="1" outlineLevel="1">
      <c r="B3010" s="384">
        <v>2026</v>
      </c>
      <c r="C3010" s="384">
        <v>4</v>
      </c>
      <c r="D3010" s="367" t="s">
        <v>5</v>
      </c>
      <c r="E3010" s="367" t="s">
        <v>6</v>
      </c>
      <c r="F3010" s="389" t="s">
        <v>4890</v>
      </c>
      <c r="G3010" s="385">
        <v>45952</v>
      </c>
      <c r="H3010" s="367" t="s">
        <v>9</v>
      </c>
      <c r="I3010" s="368" t="str">
        <f>VLOOKUP(H3010,'Source Codes'!A$2:B$115,2,FALSE)</f>
        <v>On Line Journal Entries</v>
      </c>
      <c r="J3010" s="422">
        <v>4273645</v>
      </c>
      <c r="K3010" s="385">
        <v>45968</v>
      </c>
      <c r="L3010" s="369" t="s">
        <v>4891</v>
      </c>
      <c r="M3010" s="390">
        <v>45968.494641203702</v>
      </c>
      <c r="N3010" s="368" t="s">
        <v>359</v>
      </c>
      <c r="O3010" s="367" t="s">
        <v>364</v>
      </c>
      <c r="P3010" s="368" t="str">
        <f t="shared" si="73"/>
        <v>Revenue</v>
      </c>
      <c r="Q3010" s="366" t="s">
        <v>2232</v>
      </c>
      <c r="R3010" s="366" t="s">
        <v>2232</v>
      </c>
      <c r="S3010" s="366" t="s">
        <v>2533</v>
      </c>
    </row>
    <row r="3011" spans="1:19" ht="12.75" customHeight="1" collapsed="1">
      <c r="J3011" s="413">
        <f>SUM(J3009:J3010)</f>
        <v>6151020.4399999995</v>
      </c>
    </row>
    <row r="3013" spans="1:19" ht="12.75" customHeight="1">
      <c r="A3013" s="378" t="s">
        <v>4894</v>
      </c>
    </row>
    <row r="3014" spans="1:19" ht="30" hidden="1" outlineLevel="1">
      <c r="B3014" s="384">
        <v>2026</v>
      </c>
      <c r="C3014" s="384">
        <v>5</v>
      </c>
      <c r="D3014" s="367" t="s">
        <v>5</v>
      </c>
      <c r="E3014" s="367" t="s">
        <v>6</v>
      </c>
      <c r="F3014" s="389" t="s">
        <v>4895</v>
      </c>
      <c r="G3014" s="385">
        <v>45974</v>
      </c>
      <c r="H3014" s="367" t="s">
        <v>14</v>
      </c>
      <c r="I3014" s="368" t="str">
        <f>VLOOKUP(H3014,'Source Codes'!A$2:B$115,2,FALSE)</f>
        <v>AP Warrant Issuance</v>
      </c>
      <c r="J3014" s="422">
        <v>-1381813.16</v>
      </c>
      <c r="K3014" s="385">
        <v>45971</v>
      </c>
      <c r="L3014" s="369" t="s">
        <v>4896</v>
      </c>
      <c r="M3014" s="390">
        <v>45971.757673611108</v>
      </c>
      <c r="N3014" s="368" t="s">
        <v>356</v>
      </c>
      <c r="O3014" s="367" t="s">
        <v>368</v>
      </c>
      <c r="P3014" s="368" t="str">
        <f t="shared" ref="P3014" si="74">IF(J3014&gt;0,"Revenue",IF(J3014&lt;0,"Expense"))</f>
        <v>Expense</v>
      </c>
      <c r="Q3014" s="366" t="s">
        <v>2154</v>
      </c>
      <c r="R3014" s="366" t="s">
        <v>2154</v>
      </c>
      <c r="S3014" s="366" t="s">
        <v>203</v>
      </c>
    </row>
    <row r="3015" spans="1:19" ht="12.75" customHeight="1" collapsed="1">
      <c r="J3015" s="413">
        <f>SUM(J3014)</f>
        <v>-1381813.16</v>
      </c>
    </row>
    <row r="3017" spans="1:19" ht="12.75" customHeight="1">
      <c r="A3017" s="378" t="s">
        <v>4897</v>
      </c>
    </row>
    <row r="3018" spans="1:19" ht="30" hidden="1" outlineLevel="1">
      <c r="B3018" s="384">
        <v>2026</v>
      </c>
      <c r="C3018" s="384">
        <v>5</v>
      </c>
      <c r="D3018" s="367" t="s">
        <v>5</v>
      </c>
      <c r="E3018" s="367" t="s">
        <v>6</v>
      </c>
      <c r="F3018" s="389" t="s">
        <v>4898</v>
      </c>
      <c r="G3018" s="385">
        <v>45965</v>
      </c>
      <c r="H3018" s="367" t="s">
        <v>12</v>
      </c>
      <c r="I3018" s="368" t="str">
        <f>VLOOKUP(H3018,'Source Codes'!A$2:B$115,2,FALSE)</f>
        <v>AR Direct Cash Journal</v>
      </c>
      <c r="J3018" s="422">
        <v>1900356.63</v>
      </c>
      <c r="K3018" s="385">
        <v>45973</v>
      </c>
      <c r="L3018" s="369" t="s">
        <v>4903</v>
      </c>
      <c r="M3018" s="390">
        <v>45973.752141203702</v>
      </c>
      <c r="N3018" s="368" t="s">
        <v>356</v>
      </c>
      <c r="O3018" s="367" t="s">
        <v>370</v>
      </c>
      <c r="P3018" s="368" t="str">
        <f t="shared" ref="P3018:P3027" si="75">IF(J3018&gt;0,"Revenue",IF(J3018&lt;0,"Expense"))</f>
        <v>Revenue</v>
      </c>
      <c r="Q3018" s="366" t="s">
        <v>2264</v>
      </c>
      <c r="R3018" s="366" t="s">
        <v>2264</v>
      </c>
      <c r="S3018" s="366" t="s">
        <v>4902</v>
      </c>
    </row>
    <row r="3019" spans="1:19" ht="30" hidden="1" outlineLevel="1">
      <c r="B3019" s="384">
        <v>2026</v>
      </c>
      <c r="C3019" s="384">
        <v>5</v>
      </c>
      <c r="D3019" s="367" t="s">
        <v>5</v>
      </c>
      <c r="E3019" s="367" t="s">
        <v>6</v>
      </c>
      <c r="F3019" s="389" t="s">
        <v>4899</v>
      </c>
      <c r="G3019" s="385">
        <v>45966</v>
      </c>
      <c r="H3019" s="367" t="s">
        <v>12</v>
      </c>
      <c r="I3019" s="368" t="str">
        <f>VLOOKUP(H3019,'Source Codes'!A$2:B$115,2,FALSE)</f>
        <v>AR Direct Cash Journal</v>
      </c>
      <c r="J3019" s="422">
        <v>3528774</v>
      </c>
      <c r="K3019" s="385">
        <v>45973</v>
      </c>
      <c r="L3019" s="369" t="s">
        <v>4904</v>
      </c>
      <c r="M3019" s="390">
        <v>45973.752141203702</v>
      </c>
      <c r="N3019" s="368" t="s">
        <v>356</v>
      </c>
      <c r="O3019" s="367" t="s">
        <v>362</v>
      </c>
      <c r="P3019" s="368" t="str">
        <f t="shared" si="75"/>
        <v>Revenue</v>
      </c>
      <c r="Q3019" s="366" t="s">
        <v>2360</v>
      </c>
      <c r="R3019" s="366" t="s">
        <v>2715</v>
      </c>
      <c r="S3019" s="366">
        <v>751210</v>
      </c>
    </row>
    <row r="3020" spans="1:19" ht="30" hidden="1" outlineLevel="1">
      <c r="B3020" s="384">
        <v>2026</v>
      </c>
      <c r="C3020" s="384">
        <v>5</v>
      </c>
      <c r="D3020" s="367" t="s">
        <v>5</v>
      </c>
      <c r="E3020" s="367" t="s">
        <v>6</v>
      </c>
      <c r="F3020" s="389" t="s">
        <v>4900</v>
      </c>
      <c r="G3020" s="385">
        <v>45962</v>
      </c>
      <c r="H3020" s="367" t="s">
        <v>9</v>
      </c>
      <c r="I3020" s="368" t="str">
        <f>VLOOKUP(H3020,'Source Codes'!A$2:B$115,2,FALSE)</f>
        <v>On Line Journal Entries</v>
      </c>
      <c r="J3020" s="422">
        <v>11440299.449999999</v>
      </c>
      <c r="K3020" s="385">
        <v>45973</v>
      </c>
      <c r="L3020" s="369" t="s">
        <v>344</v>
      </c>
      <c r="M3020" s="390">
        <v>45973.409641203703</v>
      </c>
      <c r="N3020" s="368" t="s">
        <v>359</v>
      </c>
      <c r="O3020" s="367" t="s">
        <v>364</v>
      </c>
      <c r="P3020" s="368" t="str">
        <f t="shared" si="75"/>
        <v>Revenue</v>
      </c>
      <c r="Q3020" s="366" t="s">
        <v>2232</v>
      </c>
      <c r="R3020" s="366" t="s">
        <v>2232</v>
      </c>
      <c r="S3020" s="366" t="s">
        <v>4905</v>
      </c>
    </row>
    <row r="3021" spans="1:19" ht="30" hidden="1" outlineLevel="1">
      <c r="B3021" s="384">
        <v>2026</v>
      </c>
      <c r="C3021" s="384">
        <v>5</v>
      </c>
      <c r="D3021" s="367" t="s">
        <v>5</v>
      </c>
      <c r="E3021" s="367" t="s">
        <v>6</v>
      </c>
      <c r="F3021" s="389" t="s">
        <v>4901</v>
      </c>
      <c r="G3021" s="385">
        <v>45962</v>
      </c>
      <c r="H3021" s="367" t="s">
        <v>9</v>
      </c>
      <c r="I3021" s="368" t="str">
        <f>VLOOKUP(H3021,'Source Codes'!A$2:B$115,2,FALSE)</f>
        <v>On Line Journal Entries</v>
      </c>
      <c r="J3021" s="422">
        <v>8468361</v>
      </c>
      <c r="K3021" s="385">
        <v>45973</v>
      </c>
      <c r="L3021" s="369" t="s">
        <v>344</v>
      </c>
      <c r="M3021" s="390">
        <v>45973.408101851855</v>
      </c>
      <c r="N3021" s="368" t="s">
        <v>359</v>
      </c>
      <c r="O3021" s="367" t="s">
        <v>364</v>
      </c>
      <c r="P3021" s="368" t="str">
        <f t="shared" si="75"/>
        <v>Revenue</v>
      </c>
      <c r="Q3021" s="366" t="s">
        <v>2232</v>
      </c>
      <c r="R3021" s="366" t="s">
        <v>2232</v>
      </c>
      <c r="S3021" s="366" t="s">
        <v>2533</v>
      </c>
    </row>
    <row r="3022" spans="1:19" ht="12.75" customHeight="1" collapsed="1">
      <c r="I3022" s="368"/>
      <c r="J3022" s="413">
        <f>SUM(J3018:J3021)</f>
        <v>25337791.079999998</v>
      </c>
      <c r="P3022" s="368"/>
    </row>
    <row r="3023" spans="1:19" ht="12.75" customHeight="1">
      <c r="I3023" s="368"/>
      <c r="P3023" s="368"/>
    </row>
    <row r="3024" spans="1:19" ht="12.75" customHeight="1">
      <c r="A3024" s="378" t="s">
        <v>4906</v>
      </c>
      <c r="I3024" s="368"/>
      <c r="P3024" s="368"/>
    </row>
    <row r="3025" spans="1:19" ht="30" hidden="1" outlineLevel="1">
      <c r="B3025" s="384">
        <v>2026</v>
      </c>
      <c r="C3025" s="384">
        <v>5</v>
      </c>
      <c r="D3025" s="367" t="s">
        <v>5</v>
      </c>
      <c r="E3025" s="367" t="s">
        <v>6</v>
      </c>
      <c r="F3025" s="389" t="s">
        <v>4907</v>
      </c>
      <c r="G3025" s="385">
        <v>45971</v>
      </c>
      <c r="H3025" s="367" t="s">
        <v>9</v>
      </c>
      <c r="I3025" s="368" t="str">
        <f>VLOOKUP(H3025,'Source Codes'!A$2:B$115,2,FALSE)</f>
        <v>On Line Journal Entries</v>
      </c>
      <c r="J3025" s="422">
        <v>76000000</v>
      </c>
      <c r="K3025" s="385">
        <v>45974</v>
      </c>
      <c r="L3025" s="369" t="s">
        <v>4912</v>
      </c>
      <c r="M3025" s="390">
        <v>45974.385613425926</v>
      </c>
      <c r="N3025" s="368" t="s">
        <v>2185</v>
      </c>
      <c r="O3025" s="367" t="s">
        <v>368</v>
      </c>
      <c r="P3025" s="368" t="str">
        <f t="shared" si="75"/>
        <v>Revenue</v>
      </c>
      <c r="Q3025" s="366" t="s">
        <v>4913</v>
      </c>
      <c r="R3025" s="366" t="s">
        <v>4864</v>
      </c>
      <c r="S3025" s="366" t="s">
        <v>4865</v>
      </c>
    </row>
    <row r="3026" spans="1:19" ht="30" hidden="1" outlineLevel="1">
      <c r="B3026" s="384">
        <v>2026</v>
      </c>
      <c r="C3026" s="384">
        <v>5</v>
      </c>
      <c r="D3026" s="367" t="s">
        <v>5</v>
      </c>
      <c r="E3026" s="367" t="s">
        <v>6</v>
      </c>
      <c r="F3026" s="389" t="s">
        <v>4908</v>
      </c>
      <c r="G3026" s="385">
        <v>45973</v>
      </c>
      <c r="H3026" s="367" t="s">
        <v>9</v>
      </c>
      <c r="I3026" s="368" t="str">
        <f>VLOOKUP(H3026,'Source Codes'!A$2:B$115,2,FALSE)</f>
        <v>On Line Journal Entries</v>
      </c>
      <c r="J3026" s="422">
        <v>45000000</v>
      </c>
      <c r="K3026" s="385">
        <v>45974</v>
      </c>
      <c r="L3026" s="369" t="s">
        <v>4910</v>
      </c>
      <c r="M3026" s="390">
        <v>45974.870150462964</v>
      </c>
      <c r="N3026" s="368" t="s">
        <v>361</v>
      </c>
      <c r="O3026" s="367" t="s">
        <v>371</v>
      </c>
      <c r="P3026" s="368" t="str">
        <f t="shared" si="75"/>
        <v>Revenue</v>
      </c>
      <c r="Q3026" s="366" t="s">
        <v>2176</v>
      </c>
      <c r="R3026" s="365" t="s">
        <v>2176</v>
      </c>
      <c r="S3026" s="366">
        <v>132600</v>
      </c>
    </row>
    <row r="3027" spans="1:19" ht="30" hidden="1" outlineLevel="1">
      <c r="B3027" s="384">
        <v>2026</v>
      </c>
      <c r="C3027" s="384">
        <v>5</v>
      </c>
      <c r="D3027" s="367" t="s">
        <v>5</v>
      </c>
      <c r="E3027" s="367" t="s">
        <v>6</v>
      </c>
      <c r="F3027" s="389" t="s">
        <v>4909</v>
      </c>
      <c r="G3027" s="385">
        <v>45973</v>
      </c>
      <c r="H3027" s="367" t="s">
        <v>9</v>
      </c>
      <c r="I3027" s="368" t="str">
        <f>VLOOKUP(H3027,'Source Codes'!A$2:B$115,2,FALSE)</f>
        <v>On Line Journal Entries</v>
      </c>
      <c r="J3027" s="422">
        <v>5148252.09</v>
      </c>
      <c r="K3027" s="385">
        <v>45974</v>
      </c>
      <c r="L3027" s="369" t="s">
        <v>4911</v>
      </c>
      <c r="M3027" s="390">
        <v>45974.870150462964</v>
      </c>
      <c r="N3027" s="368" t="s">
        <v>361</v>
      </c>
      <c r="O3027" s="367" t="s">
        <v>371</v>
      </c>
      <c r="P3027" s="368" t="str">
        <f t="shared" si="75"/>
        <v>Revenue</v>
      </c>
      <c r="Q3027" s="366" t="s">
        <v>2176</v>
      </c>
      <c r="R3027" s="365" t="s">
        <v>2176</v>
      </c>
      <c r="S3027" s="366">
        <v>132600</v>
      </c>
    </row>
    <row r="3028" spans="1:19" ht="12.75" customHeight="1" collapsed="1">
      <c r="J3028" s="413">
        <f>SUM(J3025:J3027)</f>
        <v>126148252.09</v>
      </c>
    </row>
    <row r="3030" spans="1:19" ht="12.75" customHeight="1">
      <c r="A3030" s="378" t="s">
        <v>4914</v>
      </c>
    </row>
    <row r="3031" spans="1:19" ht="45" hidden="1" customHeight="1" outlineLevel="1">
      <c r="B3031" s="384">
        <v>2026</v>
      </c>
      <c r="C3031" s="384">
        <v>5</v>
      </c>
      <c r="D3031" s="367" t="s">
        <v>5</v>
      </c>
      <c r="E3031" s="367" t="s">
        <v>6</v>
      </c>
      <c r="F3031" s="389" t="s">
        <v>4915</v>
      </c>
      <c r="G3031" s="385">
        <v>45971</v>
      </c>
      <c r="H3031" s="367" t="s">
        <v>11</v>
      </c>
      <c r="I3031" s="368" t="str">
        <f>VLOOKUP(H3031,'Source Codes'!A$2:B$115,2,FALSE)</f>
        <v>AR Payments</v>
      </c>
      <c r="J3031" s="422">
        <v>1274938.2</v>
      </c>
      <c r="K3031" s="385">
        <v>45975</v>
      </c>
      <c r="L3031" s="369" t="s">
        <v>4916</v>
      </c>
      <c r="M3031" s="390">
        <v>45975.751909722225</v>
      </c>
      <c r="N3031" s="366" t="s">
        <v>359</v>
      </c>
      <c r="O3031" s="367" t="s">
        <v>357</v>
      </c>
      <c r="P3031" s="368" t="str">
        <f t="shared" ref="P3031" si="76">IF(J3031&gt;0,"Revenue",IF(J3031&lt;0,"Expense"))</f>
        <v>Revenue</v>
      </c>
      <c r="Q3031" s="366" t="s">
        <v>2157</v>
      </c>
      <c r="R3031" s="366" t="s">
        <v>2157</v>
      </c>
      <c r="S3031" s="366" t="s">
        <v>2278</v>
      </c>
    </row>
    <row r="3032" spans="1:19" ht="12.75" customHeight="1" collapsed="1">
      <c r="J3032" s="413">
        <f>SUM(J3031)</f>
        <v>1274938.2</v>
      </c>
    </row>
    <row r="3034" spans="1:19" ht="12.75" customHeight="1">
      <c r="A3034" s="378" t="s">
        <v>4917</v>
      </c>
    </row>
    <row r="3035" spans="1:19" ht="30" hidden="1" outlineLevel="1">
      <c r="B3035" s="384">
        <v>2026</v>
      </c>
      <c r="C3035" s="384">
        <v>5</v>
      </c>
      <c r="D3035" s="367" t="s">
        <v>5</v>
      </c>
      <c r="E3035" s="367" t="s">
        <v>6</v>
      </c>
      <c r="F3035" s="389" t="s">
        <v>4918</v>
      </c>
      <c r="G3035" s="385">
        <v>45975</v>
      </c>
      <c r="H3035" s="367" t="s">
        <v>9</v>
      </c>
      <c r="I3035" s="368" t="str">
        <f>VLOOKUP(H3035,'Source Codes'!A$2:B$115,2,FALSE)</f>
        <v>On Line Journal Entries</v>
      </c>
      <c r="J3035" s="422">
        <v>23604933.190000001</v>
      </c>
      <c r="K3035" s="385">
        <v>45978</v>
      </c>
      <c r="L3035" s="369" t="s">
        <v>4923</v>
      </c>
      <c r="M3035" s="390">
        <v>45978.870405092595</v>
      </c>
      <c r="N3035" s="368" t="s">
        <v>359</v>
      </c>
      <c r="O3035" s="367" t="s">
        <v>371</v>
      </c>
      <c r="P3035" s="368" t="str">
        <f t="shared" ref="P3035:P3039" si="77">IF(J3035&gt;0,"Revenue",IF(J3035&lt;0,"Expense"))</f>
        <v>Revenue</v>
      </c>
      <c r="Q3035" s="366" t="s">
        <v>2158</v>
      </c>
      <c r="R3035" s="366" t="s">
        <v>4926</v>
      </c>
      <c r="S3035" s="366">
        <v>755120</v>
      </c>
    </row>
    <row r="3036" spans="1:19" ht="45" hidden="1" outlineLevel="1">
      <c r="B3036" s="384">
        <v>2026</v>
      </c>
      <c r="C3036" s="384">
        <v>5</v>
      </c>
      <c r="D3036" s="367" t="s">
        <v>5</v>
      </c>
      <c r="E3036" s="367" t="s">
        <v>6</v>
      </c>
      <c r="F3036" s="389" t="s">
        <v>4919</v>
      </c>
      <c r="G3036" s="385">
        <v>45975</v>
      </c>
      <c r="H3036" s="367" t="s">
        <v>9</v>
      </c>
      <c r="I3036" s="368" t="str">
        <f>VLOOKUP(H3036,'Source Codes'!A$2:B$115,2,FALSE)</f>
        <v>On Line Journal Entries</v>
      </c>
      <c r="J3036" s="422">
        <v>11457187.83</v>
      </c>
      <c r="K3036" s="385">
        <v>45978</v>
      </c>
      <c r="L3036" s="369" t="s">
        <v>4924</v>
      </c>
      <c r="M3036" s="390">
        <v>45978.870405092595</v>
      </c>
      <c r="N3036" s="368" t="s">
        <v>359</v>
      </c>
      <c r="O3036" s="367" t="s">
        <v>371</v>
      </c>
      <c r="P3036" s="368" t="str">
        <f t="shared" si="77"/>
        <v>Revenue</v>
      </c>
      <c r="Q3036" s="366" t="s">
        <v>2427</v>
      </c>
      <c r="R3036" s="366" t="s">
        <v>4927</v>
      </c>
      <c r="S3036" s="366" t="s">
        <v>2160</v>
      </c>
    </row>
    <row r="3037" spans="1:19" ht="30" hidden="1" outlineLevel="1">
      <c r="B3037" s="384">
        <v>2026</v>
      </c>
      <c r="C3037" s="384">
        <v>5</v>
      </c>
      <c r="D3037" s="367" t="s">
        <v>5</v>
      </c>
      <c r="E3037" s="367" t="s">
        <v>6</v>
      </c>
      <c r="F3037" s="389" t="s">
        <v>4920</v>
      </c>
      <c r="G3037" s="385">
        <v>45973</v>
      </c>
      <c r="H3037" s="367" t="s">
        <v>351</v>
      </c>
      <c r="I3037" s="368" t="s">
        <v>341</v>
      </c>
      <c r="J3037" s="422">
        <v>1210454.23</v>
      </c>
      <c r="K3037" s="385">
        <v>45978</v>
      </c>
      <c r="L3037" s="369" t="s">
        <v>4925</v>
      </c>
      <c r="M3037" s="390">
        <v>45978.348287037035</v>
      </c>
      <c r="N3037" s="366" t="s">
        <v>372</v>
      </c>
      <c r="O3037" s="367" t="s">
        <v>380</v>
      </c>
      <c r="P3037" s="368" t="str">
        <f t="shared" si="77"/>
        <v>Revenue</v>
      </c>
      <c r="Q3037" s="366" t="s">
        <v>2688</v>
      </c>
      <c r="R3037" s="366" t="s">
        <v>4928</v>
      </c>
      <c r="S3037" s="366" t="s">
        <v>4277</v>
      </c>
    </row>
    <row r="3038" spans="1:19" ht="15" hidden="1" outlineLevel="1">
      <c r="B3038" s="384">
        <v>2026</v>
      </c>
      <c r="C3038" s="384">
        <v>5</v>
      </c>
      <c r="D3038" s="367" t="s">
        <v>5</v>
      </c>
      <c r="E3038" s="367" t="s">
        <v>6</v>
      </c>
      <c r="F3038" s="389" t="s">
        <v>4921</v>
      </c>
      <c r="G3038" s="385">
        <v>45973</v>
      </c>
      <c r="H3038" s="367" t="s">
        <v>7</v>
      </c>
      <c r="I3038" s="368" t="str">
        <f>VLOOKUP(H3038,'Source Codes'!A$2:B$115,2,FALSE)</f>
        <v>HRMS Interface Journals</v>
      </c>
      <c r="J3038" s="422">
        <v>-2438280.91</v>
      </c>
      <c r="K3038" s="385">
        <v>45978</v>
      </c>
      <c r="L3038" s="369" t="s">
        <v>409</v>
      </c>
      <c r="M3038" s="390">
        <v>45978.3437037037</v>
      </c>
      <c r="N3038" s="366" t="s">
        <v>378</v>
      </c>
      <c r="O3038" s="367" t="s">
        <v>379</v>
      </c>
      <c r="P3038" s="368" t="str">
        <f t="shared" si="77"/>
        <v>Expense</v>
      </c>
      <c r="Q3038" s="366" t="s">
        <v>379</v>
      </c>
      <c r="R3038" s="366" t="s">
        <v>4929</v>
      </c>
      <c r="S3038" s="366">
        <v>513120</v>
      </c>
    </row>
    <row r="3039" spans="1:19" ht="15" hidden="1" outlineLevel="1">
      <c r="B3039" s="384">
        <v>2026</v>
      </c>
      <c r="C3039" s="384">
        <v>5</v>
      </c>
      <c r="D3039" s="367" t="s">
        <v>5</v>
      </c>
      <c r="E3039" s="367" t="s">
        <v>6</v>
      </c>
      <c r="F3039" s="389" t="s">
        <v>4922</v>
      </c>
      <c r="G3039" s="385">
        <v>45973</v>
      </c>
      <c r="H3039" s="367" t="s">
        <v>7</v>
      </c>
      <c r="I3039" s="368" t="str">
        <f>VLOOKUP(H3039,'Source Codes'!A$2:B$115,2,FALSE)</f>
        <v>HRMS Interface Journals</v>
      </c>
      <c r="J3039" s="422">
        <v>-10265075.210000001</v>
      </c>
      <c r="K3039" s="385">
        <v>45978</v>
      </c>
      <c r="L3039" s="369" t="s">
        <v>407</v>
      </c>
      <c r="M3039" s="390">
        <v>45978.341249999998</v>
      </c>
      <c r="N3039" s="366" t="s">
        <v>378</v>
      </c>
      <c r="O3039" s="367" t="s">
        <v>379</v>
      </c>
      <c r="P3039" s="368" t="str">
        <f t="shared" si="77"/>
        <v>Expense</v>
      </c>
      <c r="Q3039" s="366" t="s">
        <v>379</v>
      </c>
      <c r="R3039" s="366" t="s">
        <v>4929</v>
      </c>
      <c r="S3039" s="366" t="s">
        <v>203</v>
      </c>
    </row>
    <row r="3040" spans="1:19" ht="12.75" customHeight="1" collapsed="1">
      <c r="J3040" s="413">
        <f>SUM(J3035:J3039)</f>
        <v>23569219.130000003</v>
      </c>
    </row>
    <row r="3042" spans="1:19" ht="12.75" customHeight="1">
      <c r="A3042" s="378" t="s">
        <v>4931</v>
      </c>
    </row>
    <row r="3043" spans="1:19" ht="75" hidden="1" outlineLevel="1">
      <c r="B3043" s="384">
        <v>2026</v>
      </c>
      <c r="C3043" s="384">
        <v>5</v>
      </c>
      <c r="D3043" s="367" t="s">
        <v>5</v>
      </c>
      <c r="E3043" s="367" t="s">
        <v>6</v>
      </c>
      <c r="F3043" s="389" t="s">
        <v>4932</v>
      </c>
      <c r="G3043" s="385">
        <v>45978</v>
      </c>
      <c r="H3043" s="367" t="s">
        <v>11</v>
      </c>
      <c r="I3043" s="368" t="str">
        <f>VLOOKUP(H3043,'Source Codes'!A$2:B$115,2,FALSE)</f>
        <v>AR Payments</v>
      </c>
      <c r="J3043" s="422">
        <v>4274090.9000000004</v>
      </c>
      <c r="K3043" s="385">
        <v>45979</v>
      </c>
      <c r="L3043" s="369" t="s">
        <v>4940</v>
      </c>
      <c r="M3043" s="390">
        <v>45979.752071759256</v>
      </c>
      <c r="N3043" s="366" t="s">
        <v>359</v>
      </c>
      <c r="O3043" s="367" t="s">
        <v>357</v>
      </c>
      <c r="P3043" s="368" t="str">
        <f t="shared" ref="P3043:P3047" si="78">IF(J3043&gt;0,"Revenue",IF(J3043&lt;0,"Expense"))</f>
        <v>Revenue</v>
      </c>
      <c r="Q3043" s="366" t="s">
        <v>2157</v>
      </c>
      <c r="R3043" s="366" t="s">
        <v>2157</v>
      </c>
      <c r="S3043" s="366" t="s">
        <v>2911</v>
      </c>
    </row>
    <row r="3044" spans="1:19" ht="30" hidden="1" outlineLevel="1">
      <c r="B3044" s="384">
        <v>2026</v>
      </c>
      <c r="C3044" s="384">
        <v>5</v>
      </c>
      <c r="D3044" s="367" t="s">
        <v>5</v>
      </c>
      <c r="E3044" s="367" t="s">
        <v>6</v>
      </c>
      <c r="F3044" s="389" t="s">
        <v>4933</v>
      </c>
      <c r="G3044" s="385">
        <v>45963</v>
      </c>
      <c r="H3044" s="367" t="s">
        <v>9</v>
      </c>
      <c r="I3044" s="368" t="str">
        <f>VLOOKUP(H3044,'Source Codes'!A$2:B$115,2,FALSE)</f>
        <v>On Line Journal Entries</v>
      </c>
      <c r="J3044" s="422">
        <v>5648437</v>
      </c>
      <c r="K3044" s="385">
        <v>45979</v>
      </c>
      <c r="L3044" s="369" t="s">
        <v>4937</v>
      </c>
      <c r="M3044" s="390">
        <v>45979.657164351855</v>
      </c>
      <c r="N3044" s="366" t="s">
        <v>361</v>
      </c>
      <c r="O3044" s="367" t="s">
        <v>357</v>
      </c>
      <c r="P3044" s="368" t="str">
        <f t="shared" si="78"/>
        <v>Revenue</v>
      </c>
      <c r="Q3044" s="366" t="s">
        <v>2671</v>
      </c>
      <c r="R3044" s="366" t="s">
        <v>4942</v>
      </c>
      <c r="S3044" s="366">
        <v>755900</v>
      </c>
    </row>
    <row r="3045" spans="1:19" ht="30" hidden="1" outlineLevel="1">
      <c r="B3045" s="384">
        <v>2026</v>
      </c>
      <c r="C3045" s="384">
        <v>5</v>
      </c>
      <c r="D3045" s="367" t="s">
        <v>5</v>
      </c>
      <c r="E3045" s="367" t="s">
        <v>6</v>
      </c>
      <c r="F3045" s="389" t="s">
        <v>4934</v>
      </c>
      <c r="G3045" s="385">
        <v>45968</v>
      </c>
      <c r="H3045" s="367" t="s">
        <v>9</v>
      </c>
      <c r="I3045" s="368" t="str">
        <f>VLOOKUP(H3045,'Source Codes'!A$2:B$115,2,FALSE)</f>
        <v>On Line Journal Entries</v>
      </c>
      <c r="J3045" s="422">
        <v>4352467</v>
      </c>
      <c r="K3045" s="385">
        <v>45979</v>
      </c>
      <c r="L3045" s="369" t="s">
        <v>4938</v>
      </c>
      <c r="M3045" s="390">
        <v>45979.870150462964</v>
      </c>
      <c r="N3045" s="368" t="s">
        <v>359</v>
      </c>
      <c r="O3045" s="367" t="s">
        <v>369</v>
      </c>
      <c r="P3045" s="368" t="str">
        <f t="shared" si="78"/>
        <v>Revenue</v>
      </c>
      <c r="Q3045" s="366" t="s">
        <v>2268</v>
      </c>
      <c r="R3045" s="365">
        <v>45986</v>
      </c>
      <c r="S3045" s="366" t="s">
        <v>4726</v>
      </c>
    </row>
    <row r="3046" spans="1:19" ht="15" hidden="1" outlineLevel="1">
      <c r="B3046" s="384">
        <v>2026</v>
      </c>
      <c r="C3046" s="384">
        <v>5</v>
      </c>
      <c r="D3046" s="367" t="s">
        <v>5</v>
      </c>
      <c r="E3046" s="367" t="s">
        <v>6</v>
      </c>
      <c r="F3046" s="389" t="s">
        <v>4935</v>
      </c>
      <c r="G3046" s="385">
        <v>45974</v>
      </c>
      <c r="H3046" s="367" t="s">
        <v>8</v>
      </c>
      <c r="I3046" s="368" t="str">
        <f>VLOOKUP(H3046,'Source Codes'!A$2:B$115,2,FALSE)</f>
        <v>Prch,Cntrl Mail,Flt,Prntg,Sply</v>
      </c>
      <c r="J3046" s="422">
        <v>-2615354.5499999998</v>
      </c>
      <c r="K3046" s="385">
        <v>45979</v>
      </c>
      <c r="L3046" s="369" t="s">
        <v>4939</v>
      </c>
      <c r="M3046" s="390">
        <v>45979.4844212963</v>
      </c>
      <c r="N3046" s="368" t="s">
        <v>359</v>
      </c>
      <c r="O3046" s="367" t="s">
        <v>382</v>
      </c>
      <c r="P3046" s="368" t="str">
        <f t="shared" si="78"/>
        <v>Expense</v>
      </c>
      <c r="Q3046" s="366" t="s">
        <v>2328</v>
      </c>
      <c r="R3046" s="366" t="s">
        <v>4941</v>
      </c>
      <c r="S3046" s="366" t="s">
        <v>2535</v>
      </c>
    </row>
    <row r="3047" spans="1:19" ht="15" hidden="1" outlineLevel="1">
      <c r="B3047" s="384">
        <v>2026</v>
      </c>
      <c r="C3047" s="384">
        <v>5</v>
      </c>
      <c r="D3047" s="367" t="s">
        <v>5</v>
      </c>
      <c r="E3047" s="367" t="s">
        <v>6</v>
      </c>
      <c r="F3047" s="389" t="s">
        <v>4936</v>
      </c>
      <c r="G3047" s="385">
        <v>45973</v>
      </c>
      <c r="H3047" s="367" t="s">
        <v>7</v>
      </c>
      <c r="I3047" s="368" t="str">
        <f>VLOOKUP(H3047,'Source Codes'!A$2:B$115,2,FALSE)</f>
        <v>HRMS Interface Journals</v>
      </c>
      <c r="J3047" s="422">
        <v>-75120031.090000004</v>
      </c>
      <c r="K3047" s="385">
        <v>45979</v>
      </c>
      <c r="L3047" s="369" t="s">
        <v>406</v>
      </c>
      <c r="M3047" s="390">
        <v>45979.314270833333</v>
      </c>
      <c r="N3047" s="366" t="s">
        <v>378</v>
      </c>
      <c r="O3047" s="367" t="s">
        <v>371</v>
      </c>
      <c r="P3047" s="368" t="str">
        <f t="shared" si="78"/>
        <v>Expense</v>
      </c>
      <c r="Q3047" s="366" t="s">
        <v>379</v>
      </c>
      <c r="R3047" s="366" t="s">
        <v>4929</v>
      </c>
      <c r="S3047" s="366" t="s">
        <v>203</v>
      </c>
    </row>
    <row r="3048" spans="1:19" ht="12.75" customHeight="1" collapsed="1">
      <c r="J3048" s="413">
        <f>SUM(J3043:J3047)</f>
        <v>-63460390.740000002</v>
      </c>
    </row>
    <row r="3050" spans="1:19" ht="12.75" customHeight="1">
      <c r="A3050" s="378" t="s">
        <v>4943</v>
      </c>
    </row>
    <row r="3051" spans="1:19" ht="45" hidden="1" outlineLevel="1">
      <c r="B3051" s="384">
        <v>2026</v>
      </c>
      <c r="C3051" s="384">
        <v>5</v>
      </c>
      <c r="D3051" s="367" t="s">
        <v>5</v>
      </c>
      <c r="E3051" s="367" t="s">
        <v>6</v>
      </c>
      <c r="F3051" s="389" t="s">
        <v>4944</v>
      </c>
      <c r="G3051" s="385">
        <v>45980</v>
      </c>
      <c r="H3051" s="367" t="s">
        <v>14</v>
      </c>
      <c r="I3051" s="368" t="str">
        <f>VLOOKUP(H3051,'Source Codes'!A$2:B$115,2,FALSE)</f>
        <v>AP Warrant Issuance</v>
      </c>
      <c r="J3051" s="422">
        <v>-2350783.35</v>
      </c>
      <c r="K3051" s="385">
        <v>45980</v>
      </c>
      <c r="L3051" s="369" t="s">
        <v>4945</v>
      </c>
      <c r="M3051" s="390">
        <v>45980.75922453704</v>
      </c>
      <c r="N3051" s="366" t="s">
        <v>356</v>
      </c>
      <c r="O3051" s="367" t="s">
        <v>368</v>
      </c>
      <c r="P3051" s="368" t="str">
        <f t="shared" ref="P3051" si="79">IF(J3051&gt;0,"Revenue",IF(J3051&lt;0,"Expense"))</f>
        <v>Expense</v>
      </c>
      <c r="Q3051" s="366" t="s">
        <v>2154</v>
      </c>
      <c r="R3051" s="366" t="s">
        <v>2154</v>
      </c>
      <c r="S3051" s="366">
        <v>530280</v>
      </c>
    </row>
    <row r="3052" spans="1:19" ht="12.75" customHeight="1" collapsed="1">
      <c r="J3052" s="413">
        <f>SUM(J3051)</f>
        <v>-2350783.35</v>
      </c>
    </row>
    <row r="3054" spans="1:19" ht="12.75" customHeight="1">
      <c r="A3054" s="378" t="s">
        <v>4946</v>
      </c>
    </row>
    <row r="3055" spans="1:19" ht="45" hidden="1" outlineLevel="1">
      <c r="B3055" s="384">
        <v>2026</v>
      </c>
      <c r="C3055" s="384">
        <v>5</v>
      </c>
      <c r="D3055" s="367" t="s">
        <v>5</v>
      </c>
      <c r="E3055" s="367" t="s">
        <v>6</v>
      </c>
      <c r="F3055" s="389" t="s">
        <v>4947</v>
      </c>
      <c r="G3055" s="385">
        <v>45981</v>
      </c>
      <c r="H3055" s="367" t="s">
        <v>11</v>
      </c>
      <c r="I3055" s="368" t="str">
        <f>VLOOKUP(H3055,'Source Codes'!A$2:B$115,2,FALSE)</f>
        <v>AR Payments</v>
      </c>
      <c r="J3055" s="422">
        <v>3198948.57</v>
      </c>
      <c r="K3055" s="385">
        <v>45981</v>
      </c>
      <c r="L3055" s="369" t="s">
        <v>4948</v>
      </c>
      <c r="M3055" s="390">
        <v>45981.75203703704</v>
      </c>
      <c r="N3055" s="366" t="s">
        <v>359</v>
      </c>
      <c r="O3055" s="367" t="s">
        <v>357</v>
      </c>
      <c r="P3055" s="368" t="str">
        <f t="shared" ref="P3055" si="80">IF(J3055&gt;0,"Revenue",IF(J3055&lt;0,"Expense"))</f>
        <v>Revenue</v>
      </c>
      <c r="Q3055" s="366" t="s">
        <v>2157</v>
      </c>
      <c r="R3055" s="366" t="s">
        <v>2157</v>
      </c>
      <c r="S3055" s="366" t="s">
        <v>3863</v>
      </c>
    </row>
    <row r="3056" spans="1:19" ht="12.75" customHeight="1" collapsed="1">
      <c r="J3056" s="413">
        <f>SUM(J3055)</f>
        <v>3198948.57</v>
      </c>
    </row>
    <row r="3058" spans="1:19" ht="12.75" customHeight="1">
      <c r="A3058" s="378" t="s">
        <v>4949</v>
      </c>
    </row>
    <row r="3059" spans="1:19" ht="30" hidden="1" outlineLevel="1">
      <c r="B3059" s="384">
        <v>2026</v>
      </c>
      <c r="C3059" s="384">
        <v>5</v>
      </c>
      <c r="D3059" s="367" t="s">
        <v>5</v>
      </c>
      <c r="E3059" s="367" t="s">
        <v>6</v>
      </c>
      <c r="F3059" s="389" t="s">
        <v>4950</v>
      </c>
      <c r="G3059" s="385">
        <v>45986</v>
      </c>
      <c r="H3059" s="367" t="s">
        <v>14</v>
      </c>
      <c r="I3059" s="368" t="str">
        <f>VLOOKUP(H3059,'Source Codes'!A$2:B$115,2,FALSE)</f>
        <v>AP Warrant Issuance</v>
      </c>
      <c r="J3059" s="422">
        <v>-1188155.27</v>
      </c>
      <c r="K3059" s="385">
        <v>45982</v>
      </c>
      <c r="L3059" s="369" t="s">
        <v>4957</v>
      </c>
      <c r="M3059" s="390">
        <v>45982.7578125</v>
      </c>
      <c r="N3059" s="366" t="s">
        <v>356</v>
      </c>
      <c r="O3059" s="367" t="s">
        <v>368</v>
      </c>
      <c r="P3059" s="368" t="s">
        <v>2613</v>
      </c>
      <c r="Q3059" s="366" t="s">
        <v>2154</v>
      </c>
      <c r="R3059" s="366" t="s">
        <v>2154</v>
      </c>
      <c r="S3059" s="366" t="s">
        <v>203</v>
      </c>
    </row>
    <row r="3060" spans="1:19" ht="45" hidden="1" outlineLevel="1">
      <c r="B3060" s="384">
        <v>2026</v>
      </c>
      <c r="C3060" s="384">
        <v>5</v>
      </c>
      <c r="D3060" s="367" t="s">
        <v>5</v>
      </c>
      <c r="E3060" s="367" t="s">
        <v>6</v>
      </c>
      <c r="F3060" s="389" t="s">
        <v>4951</v>
      </c>
      <c r="G3060" s="385">
        <v>45982</v>
      </c>
      <c r="H3060" s="367" t="s">
        <v>12</v>
      </c>
      <c r="I3060" s="368" t="str">
        <f>VLOOKUP(H3060,'Source Codes'!A$2:B$115,2,FALSE)</f>
        <v>AR Direct Cash Journal</v>
      </c>
      <c r="J3060" s="422">
        <v>5991897.3200000003</v>
      </c>
      <c r="K3060" s="385">
        <v>45982</v>
      </c>
      <c r="L3060" s="369" t="s">
        <v>4958</v>
      </c>
      <c r="M3060" s="390">
        <v>45982.751898148148</v>
      </c>
      <c r="N3060" s="368" t="s">
        <v>359</v>
      </c>
      <c r="O3060" s="367" t="s">
        <v>371</v>
      </c>
      <c r="P3060" s="368" t="s">
        <v>2290</v>
      </c>
      <c r="Q3060" s="366" t="s">
        <v>2316</v>
      </c>
      <c r="R3060" s="365" t="s">
        <v>4856</v>
      </c>
      <c r="S3060" s="366" t="s">
        <v>3771</v>
      </c>
    </row>
    <row r="3061" spans="1:19" ht="143.25" hidden="1" customHeight="1" outlineLevel="1">
      <c r="B3061" s="384">
        <v>2026</v>
      </c>
      <c r="C3061" s="384">
        <v>5</v>
      </c>
      <c r="D3061" s="367" t="s">
        <v>5</v>
      </c>
      <c r="E3061" s="367" t="s">
        <v>6</v>
      </c>
      <c r="F3061" s="389" t="s">
        <v>4952</v>
      </c>
      <c r="G3061" s="385">
        <v>45982</v>
      </c>
      <c r="H3061" s="367" t="s">
        <v>11</v>
      </c>
      <c r="I3061" s="368" t="str">
        <f>VLOOKUP(H3061,'Source Codes'!A$2:B$115,2,FALSE)</f>
        <v>AR Payments</v>
      </c>
      <c r="J3061" s="422">
        <v>5035166.43</v>
      </c>
      <c r="K3061" s="385">
        <v>45982</v>
      </c>
      <c r="L3061" s="369" t="s">
        <v>4962</v>
      </c>
      <c r="M3061" s="390">
        <v>45982.751898148148</v>
      </c>
      <c r="N3061" s="366" t="s">
        <v>359</v>
      </c>
      <c r="O3061" s="367" t="s">
        <v>357</v>
      </c>
      <c r="P3061" s="368" t="s">
        <v>2290</v>
      </c>
      <c r="Q3061" s="366" t="s">
        <v>2157</v>
      </c>
      <c r="R3061" s="366" t="s">
        <v>2157</v>
      </c>
      <c r="S3061" s="366" t="s">
        <v>2911</v>
      </c>
    </row>
    <row r="3062" spans="1:19" ht="30" hidden="1" outlineLevel="1">
      <c r="B3062" s="384">
        <v>2026</v>
      </c>
      <c r="C3062" s="384">
        <v>5</v>
      </c>
      <c r="D3062" s="367" t="s">
        <v>5</v>
      </c>
      <c r="E3062" s="367" t="s">
        <v>6</v>
      </c>
      <c r="F3062" s="389" t="s">
        <v>4953</v>
      </c>
      <c r="G3062" s="385">
        <v>45980</v>
      </c>
      <c r="H3062" s="367" t="s">
        <v>9</v>
      </c>
      <c r="I3062" s="368" t="str">
        <f>VLOOKUP(H3062,'Source Codes'!A$2:B$115,2,FALSE)</f>
        <v>On Line Journal Entries</v>
      </c>
      <c r="J3062" s="422">
        <v>2551740.71</v>
      </c>
      <c r="K3062" s="385">
        <v>45982</v>
      </c>
      <c r="L3062" s="369" t="s">
        <v>4955</v>
      </c>
      <c r="M3062" s="390">
        <v>45982.869849537034</v>
      </c>
      <c r="N3062" s="366" t="s">
        <v>361</v>
      </c>
      <c r="O3062" s="367" t="s">
        <v>510</v>
      </c>
      <c r="P3062" s="368" t="s">
        <v>2290</v>
      </c>
      <c r="Q3062" s="366" t="s">
        <v>2122</v>
      </c>
      <c r="R3062" s="366" t="s">
        <v>4959</v>
      </c>
      <c r="S3062" s="366">
        <v>781100</v>
      </c>
    </row>
    <row r="3063" spans="1:19" ht="30" hidden="1" outlineLevel="1">
      <c r="B3063" s="384">
        <v>2026</v>
      </c>
      <c r="C3063" s="384">
        <v>5</v>
      </c>
      <c r="D3063" s="367" t="s">
        <v>5</v>
      </c>
      <c r="E3063" s="367" t="s">
        <v>6</v>
      </c>
      <c r="F3063" s="389" t="s">
        <v>4954</v>
      </c>
      <c r="G3063" s="385">
        <v>45980</v>
      </c>
      <c r="H3063" s="367" t="s">
        <v>9</v>
      </c>
      <c r="I3063" s="368" t="str">
        <f>VLOOKUP(H3063,'Source Codes'!A$2:B$115,2,FALSE)</f>
        <v>On Line Journal Entries</v>
      </c>
      <c r="J3063" s="422">
        <v>-1379261.84</v>
      </c>
      <c r="K3063" s="385">
        <v>45982</v>
      </c>
      <c r="L3063" s="369" t="s">
        <v>4956</v>
      </c>
      <c r="M3063" s="390">
        <v>45982.869849537034</v>
      </c>
      <c r="N3063" s="366" t="s">
        <v>2185</v>
      </c>
      <c r="O3063" s="367" t="s">
        <v>510</v>
      </c>
      <c r="P3063" s="368" t="s">
        <v>2290</v>
      </c>
      <c r="Q3063" s="366" t="s">
        <v>4960</v>
      </c>
      <c r="R3063" s="366" t="s">
        <v>4961</v>
      </c>
      <c r="S3063" s="366">
        <v>781100</v>
      </c>
    </row>
    <row r="3064" spans="1:19" ht="12.75" customHeight="1" collapsed="1">
      <c r="B3064" s="384"/>
      <c r="C3064" s="384"/>
      <c r="D3064" s="367"/>
      <c r="E3064" s="367"/>
      <c r="F3064" s="389"/>
      <c r="G3064" s="385"/>
      <c r="H3064" s="367"/>
      <c r="I3064" s="368"/>
      <c r="J3064" s="423">
        <f>SUM(J3059:J3063)</f>
        <v>11011387.350000001</v>
      </c>
      <c r="K3064" s="385"/>
      <c r="L3064" s="369"/>
      <c r="M3064" s="390"/>
      <c r="N3064" s="366"/>
      <c r="O3064" s="367"/>
      <c r="P3064" s="368"/>
      <c r="Q3064" s="366"/>
      <c r="R3064" s="366"/>
      <c r="S3064" s="366"/>
    </row>
    <row r="3065" spans="1:19" ht="12.75" customHeight="1">
      <c r="J3065" s="416"/>
    </row>
    <row r="3066" spans="1:19" ht="12.75" customHeight="1">
      <c r="A3066" s="378" t="s">
        <v>4963</v>
      </c>
    </row>
    <row r="3067" spans="1:19" ht="30" hidden="1" outlineLevel="1">
      <c r="B3067" s="384">
        <v>2026</v>
      </c>
      <c r="C3067" s="384">
        <v>5</v>
      </c>
      <c r="D3067" s="367" t="s">
        <v>5</v>
      </c>
      <c r="E3067" s="367" t="s">
        <v>6</v>
      </c>
      <c r="F3067" s="389" t="s">
        <v>4964</v>
      </c>
      <c r="G3067" s="385">
        <v>45981</v>
      </c>
      <c r="H3067" s="367" t="s">
        <v>9</v>
      </c>
      <c r="I3067" s="368" t="str">
        <f>VLOOKUP(H3067,'Source Codes'!A$2:B$115,2,FALSE)</f>
        <v>On Line Journal Entries</v>
      </c>
      <c r="J3067" s="422">
        <v>8660600</v>
      </c>
      <c r="K3067" s="385">
        <v>45985</v>
      </c>
      <c r="L3067" s="369" t="s">
        <v>344</v>
      </c>
      <c r="M3067" s="390">
        <v>45985.870810185188</v>
      </c>
      <c r="N3067" s="366" t="s">
        <v>359</v>
      </c>
      <c r="O3067" s="367" t="s">
        <v>364</v>
      </c>
      <c r="P3067" s="368" t="s">
        <v>2290</v>
      </c>
      <c r="Q3067" s="366" t="s">
        <v>2232</v>
      </c>
      <c r="R3067" s="366" t="s">
        <v>2232</v>
      </c>
      <c r="S3067" s="366">
        <v>230141</v>
      </c>
    </row>
    <row r="3068" spans="1:19" ht="30" hidden="1" outlineLevel="1">
      <c r="B3068" s="384">
        <v>2026</v>
      </c>
      <c r="C3068" s="384">
        <v>5</v>
      </c>
      <c r="D3068" s="367" t="s">
        <v>5</v>
      </c>
      <c r="E3068" s="367" t="s">
        <v>6</v>
      </c>
      <c r="F3068" s="389" t="s">
        <v>4965</v>
      </c>
      <c r="G3068" s="385">
        <v>45980</v>
      </c>
      <c r="H3068" s="367" t="s">
        <v>9</v>
      </c>
      <c r="I3068" s="368" t="str">
        <f>VLOOKUP(H3068,'Source Codes'!A$2:B$115,2,FALSE)</f>
        <v>On Line Journal Entries</v>
      </c>
      <c r="J3068" s="422">
        <v>6383500</v>
      </c>
      <c r="K3068" s="385">
        <v>45985</v>
      </c>
      <c r="L3068" s="369" t="s">
        <v>344</v>
      </c>
      <c r="M3068" s="390">
        <v>45985.870810185188</v>
      </c>
      <c r="N3068" s="366" t="s">
        <v>359</v>
      </c>
      <c r="O3068" s="367" t="s">
        <v>364</v>
      </c>
      <c r="P3068" s="368" t="s">
        <v>2290</v>
      </c>
      <c r="Q3068" s="366" t="s">
        <v>2232</v>
      </c>
      <c r="R3068" s="366" t="s">
        <v>2232</v>
      </c>
      <c r="S3068" s="366">
        <v>230141</v>
      </c>
    </row>
    <row r="3069" spans="1:19" ht="66.75" hidden="1" customHeight="1" outlineLevel="1">
      <c r="B3069" s="384">
        <v>2026</v>
      </c>
      <c r="C3069" s="384">
        <v>5</v>
      </c>
      <c r="D3069" s="367" t="s">
        <v>5</v>
      </c>
      <c r="E3069" s="367" t="s">
        <v>6</v>
      </c>
      <c r="F3069" s="389" t="s">
        <v>4966</v>
      </c>
      <c r="G3069" s="385">
        <v>45974</v>
      </c>
      <c r="H3069" s="367" t="s">
        <v>9</v>
      </c>
      <c r="I3069" s="368" t="str">
        <f>VLOOKUP(H3069,'Source Codes'!A$2:B$115,2,FALSE)</f>
        <v>On Line Journal Entries</v>
      </c>
      <c r="J3069" s="422">
        <v>6216782</v>
      </c>
      <c r="K3069" s="385">
        <v>45985</v>
      </c>
      <c r="L3069" s="369" t="s">
        <v>352</v>
      </c>
      <c r="M3069" s="390">
        <v>45985.870810185188</v>
      </c>
      <c r="N3069" s="368" t="s">
        <v>359</v>
      </c>
      <c r="O3069" s="367" t="s">
        <v>364</v>
      </c>
      <c r="P3069" s="368" t="s">
        <v>2290</v>
      </c>
      <c r="Q3069" s="366" t="s">
        <v>2232</v>
      </c>
      <c r="R3069" s="365" t="s">
        <v>2232</v>
      </c>
      <c r="S3069" s="366" t="s">
        <v>2789</v>
      </c>
    </row>
    <row r="3070" spans="1:19" ht="47.25" hidden="1" customHeight="1" outlineLevel="1">
      <c r="B3070" s="384">
        <v>2026</v>
      </c>
      <c r="C3070" s="384">
        <v>5</v>
      </c>
      <c r="D3070" s="367" t="s">
        <v>5</v>
      </c>
      <c r="E3070" s="367" t="s">
        <v>6</v>
      </c>
      <c r="F3070" s="389" t="s">
        <v>4967</v>
      </c>
      <c r="G3070" s="385">
        <v>45974</v>
      </c>
      <c r="H3070" s="367" t="s">
        <v>9</v>
      </c>
      <c r="I3070" s="368" t="str">
        <f>VLOOKUP(H3070,'Source Codes'!A$2:B$115,2,FALSE)</f>
        <v>On Line Journal Entries</v>
      </c>
      <c r="J3070" s="422">
        <v>5318085</v>
      </c>
      <c r="K3070" s="385">
        <v>45985</v>
      </c>
      <c r="L3070" s="369" t="s">
        <v>334</v>
      </c>
      <c r="M3070" s="390">
        <v>45985.870810185188</v>
      </c>
      <c r="N3070" s="368" t="s">
        <v>359</v>
      </c>
      <c r="O3070" s="368" t="s">
        <v>364</v>
      </c>
      <c r="P3070" s="368" t="str">
        <f t="shared" ref="P3070" si="81">IF(J3070&gt;0,"Revenue",IF(J3070&lt;0,"Expense"))</f>
        <v>Revenue</v>
      </c>
      <c r="Q3070" s="366" t="s">
        <v>2232</v>
      </c>
      <c r="R3070" s="366" t="s">
        <v>2232</v>
      </c>
      <c r="S3070" s="366">
        <v>750741</v>
      </c>
    </row>
    <row r="3071" spans="1:19" ht="60" hidden="1" outlineLevel="1">
      <c r="B3071" s="384">
        <v>2026</v>
      </c>
      <c r="C3071" s="384">
        <v>5</v>
      </c>
      <c r="D3071" s="367" t="s">
        <v>5</v>
      </c>
      <c r="E3071" s="367" t="s">
        <v>6</v>
      </c>
      <c r="F3071" s="389" t="s">
        <v>4968</v>
      </c>
      <c r="G3071" s="385">
        <v>45974</v>
      </c>
      <c r="H3071" s="367" t="s">
        <v>9</v>
      </c>
      <c r="I3071" s="368" t="str">
        <f>VLOOKUP(H3071,'Source Codes'!A$2:B$115,2,FALSE)</f>
        <v>On Line Journal Entries</v>
      </c>
      <c r="J3071" s="422">
        <v>1554986.32</v>
      </c>
      <c r="K3071" s="385">
        <v>45985</v>
      </c>
      <c r="L3071" s="369" t="s">
        <v>347</v>
      </c>
      <c r="M3071" s="390">
        <v>45985.870810185188</v>
      </c>
      <c r="N3071" s="368" t="s">
        <v>359</v>
      </c>
      <c r="O3071" s="368" t="s">
        <v>364</v>
      </c>
      <c r="P3071" s="368" t="s">
        <v>2290</v>
      </c>
      <c r="Q3071" s="366" t="s">
        <v>2232</v>
      </c>
      <c r="R3071" s="365" t="s">
        <v>2232</v>
      </c>
      <c r="S3071" s="366">
        <v>755924</v>
      </c>
    </row>
    <row r="3072" spans="1:19" ht="12.75" customHeight="1" collapsed="1">
      <c r="J3072" s="413">
        <f>SUM(J3067:J3071)</f>
        <v>28133953.32</v>
      </c>
    </row>
    <row r="3074" spans="1:19" ht="15">
      <c r="A3074" s="378" t="s">
        <v>4969</v>
      </c>
    </row>
    <row r="3075" spans="1:19" ht="93.75" hidden="1" customHeight="1" outlineLevel="1">
      <c r="B3075" s="384">
        <v>2026</v>
      </c>
      <c r="C3075" s="384">
        <v>5</v>
      </c>
      <c r="D3075" s="367" t="s">
        <v>5</v>
      </c>
      <c r="E3075" s="367" t="s">
        <v>6</v>
      </c>
      <c r="F3075" s="389" t="s">
        <v>4970</v>
      </c>
      <c r="G3075" s="385">
        <v>45986</v>
      </c>
      <c r="H3075" s="367" t="s">
        <v>14</v>
      </c>
      <c r="I3075" s="368" t="str">
        <f>VLOOKUP(H3075,'Source Codes'!A$2:B$115,2,FALSE)</f>
        <v>AP Warrant Issuance</v>
      </c>
      <c r="J3075" s="422">
        <v>-3987668.85</v>
      </c>
      <c r="K3075" s="385">
        <v>45986</v>
      </c>
      <c r="L3075" s="369" t="s">
        <v>4979</v>
      </c>
      <c r="M3075" s="390">
        <v>45986.758032407408</v>
      </c>
      <c r="N3075" s="368" t="s">
        <v>2185</v>
      </c>
      <c r="O3075" s="368" t="s">
        <v>370</v>
      </c>
      <c r="P3075" s="368" t="str">
        <f t="shared" ref="P3075:P3077" si="82">IF(J3075&gt;0,"Revenue",IF(J3075&lt;0,"Expense"))</f>
        <v>Expense</v>
      </c>
      <c r="Q3075" s="366" t="s">
        <v>2212</v>
      </c>
      <c r="R3075" s="365" t="s">
        <v>2213</v>
      </c>
      <c r="S3075" s="366" t="s">
        <v>4975</v>
      </c>
    </row>
    <row r="3076" spans="1:19" ht="30" hidden="1" outlineLevel="1">
      <c r="B3076" s="384">
        <v>2026</v>
      </c>
      <c r="C3076" s="384">
        <v>5</v>
      </c>
      <c r="D3076" s="367" t="s">
        <v>5</v>
      </c>
      <c r="E3076" s="367" t="s">
        <v>6</v>
      </c>
      <c r="F3076" s="389" t="s">
        <v>4971</v>
      </c>
      <c r="G3076" s="385">
        <v>45981</v>
      </c>
      <c r="H3076" s="367" t="s">
        <v>9</v>
      </c>
      <c r="I3076" s="368" t="str">
        <f>VLOOKUP(H3076,'Source Codes'!A$2:B$115,2,FALSE)</f>
        <v>On Line Journal Entries</v>
      </c>
      <c r="J3076" s="422">
        <v>27453507</v>
      </c>
      <c r="K3076" s="385">
        <v>45986</v>
      </c>
      <c r="L3076" s="369" t="s">
        <v>344</v>
      </c>
      <c r="M3076" s="390">
        <v>45986.869571759256</v>
      </c>
      <c r="N3076" s="368" t="s">
        <v>359</v>
      </c>
      <c r="O3076" s="368" t="s">
        <v>364</v>
      </c>
      <c r="P3076" s="368" t="str">
        <f t="shared" si="82"/>
        <v>Revenue</v>
      </c>
      <c r="Q3076" s="366" t="s">
        <v>2232</v>
      </c>
      <c r="R3076" s="365" t="s">
        <v>2232</v>
      </c>
      <c r="S3076" s="366" t="s">
        <v>3587</v>
      </c>
    </row>
    <row r="3077" spans="1:19" ht="45" hidden="1" outlineLevel="1">
      <c r="B3077" s="384">
        <v>2026</v>
      </c>
      <c r="C3077" s="384">
        <v>5</v>
      </c>
      <c r="D3077" s="367" t="s">
        <v>5</v>
      </c>
      <c r="E3077" s="367" t="s">
        <v>6</v>
      </c>
      <c r="F3077" s="389" t="s">
        <v>4972</v>
      </c>
      <c r="G3077" s="385">
        <v>45966</v>
      </c>
      <c r="H3077" s="367" t="s">
        <v>9</v>
      </c>
      <c r="I3077" s="368" t="str">
        <f>VLOOKUP(H3077,'Source Codes'!A$2:B$115,2,FALSE)</f>
        <v>On Line Journal Entries</v>
      </c>
      <c r="J3077" s="422">
        <v>1311128</v>
      </c>
      <c r="K3077" s="385">
        <v>45986</v>
      </c>
      <c r="L3077" s="369" t="s">
        <v>343</v>
      </c>
      <c r="M3077" s="390">
        <v>45986.869571759256</v>
      </c>
      <c r="N3077" s="368" t="s">
        <v>361</v>
      </c>
      <c r="O3077" s="368" t="s">
        <v>364</v>
      </c>
      <c r="P3077" s="368" t="str">
        <f t="shared" si="82"/>
        <v>Revenue</v>
      </c>
      <c r="Q3077" s="366" t="s">
        <v>2232</v>
      </c>
      <c r="R3077" s="365" t="s">
        <v>2232</v>
      </c>
      <c r="S3077" s="366" t="s">
        <v>4976</v>
      </c>
    </row>
    <row r="3078" spans="1:19" ht="30" hidden="1" outlineLevel="1">
      <c r="B3078" s="384">
        <v>2026</v>
      </c>
      <c r="C3078" s="384">
        <v>5</v>
      </c>
      <c r="D3078" s="367" t="s">
        <v>5</v>
      </c>
      <c r="E3078" s="367" t="s">
        <v>6</v>
      </c>
      <c r="F3078" s="389" t="s">
        <v>4973</v>
      </c>
      <c r="G3078" s="385">
        <v>45965</v>
      </c>
      <c r="H3078" s="367" t="s">
        <v>9</v>
      </c>
      <c r="I3078" s="368" t="str">
        <f>VLOOKUP(H3078,'Source Codes'!A$2:B$115,2,FALSE)</f>
        <v>On Line Journal Entries</v>
      </c>
      <c r="J3078" s="422">
        <v>1172028.72</v>
      </c>
      <c r="K3078" s="385">
        <v>45986</v>
      </c>
      <c r="L3078" s="369" t="s">
        <v>4974</v>
      </c>
      <c r="M3078" s="390">
        <v>45986.869571759256</v>
      </c>
      <c r="N3078" s="368" t="s">
        <v>2185</v>
      </c>
      <c r="O3078" s="368" t="s">
        <v>364</v>
      </c>
      <c r="P3078" s="368" t="str">
        <f t="shared" ref="P3078" si="83">IF(J3078&gt;0,"Revenue",IF(J3078&lt;0,"Expense"))</f>
        <v>Revenue</v>
      </c>
      <c r="Q3078" s="366" t="s">
        <v>4977</v>
      </c>
      <c r="R3078" s="365" t="s">
        <v>4978</v>
      </c>
      <c r="S3078" s="366">
        <v>755929</v>
      </c>
    </row>
    <row r="3079" spans="1:19" ht="12.75" customHeight="1" collapsed="1">
      <c r="J3079" s="413">
        <f>SUM(J3075:J3078)</f>
        <v>25948994.869999997</v>
      </c>
    </row>
    <row r="3081" spans="1:19" ht="12.75" customHeight="1">
      <c r="A3081" s="378" t="s">
        <v>4980</v>
      </c>
    </row>
    <row r="3082" spans="1:19" ht="30" hidden="1" outlineLevel="1">
      <c r="B3082" s="384">
        <v>2026</v>
      </c>
      <c r="C3082" s="384">
        <v>5</v>
      </c>
      <c r="D3082" s="367" t="s">
        <v>5</v>
      </c>
      <c r="E3082" s="367" t="s">
        <v>6</v>
      </c>
      <c r="F3082" s="389" t="s">
        <v>4981</v>
      </c>
      <c r="G3082" s="385">
        <v>45987</v>
      </c>
      <c r="H3082" s="367" t="s">
        <v>12</v>
      </c>
      <c r="I3082" s="368" t="str">
        <f>VLOOKUP(H3082,'Source Codes'!A$2:B$115,2,FALSE)</f>
        <v>AR Direct Cash Journal</v>
      </c>
      <c r="J3082" s="422">
        <v>4999000.22</v>
      </c>
      <c r="K3082" s="385">
        <v>45987</v>
      </c>
      <c r="L3082" s="369" t="s">
        <v>4986</v>
      </c>
      <c r="M3082" s="390">
        <v>45987.75204861111</v>
      </c>
      <c r="N3082" s="368" t="s">
        <v>356</v>
      </c>
      <c r="O3082" s="368" t="s">
        <v>371</v>
      </c>
      <c r="P3082" s="368" t="str">
        <f t="shared" ref="P3082:P3086" si="84">IF(J3082&gt;0,"Revenue",IF(J3082&lt;0,"Expense"))</f>
        <v>Revenue</v>
      </c>
      <c r="Q3082" s="366" t="s">
        <v>2346</v>
      </c>
      <c r="R3082" s="365" t="s">
        <v>4856</v>
      </c>
      <c r="S3082" s="366">
        <v>750250</v>
      </c>
    </row>
    <row r="3083" spans="1:19" ht="30" hidden="1" outlineLevel="1">
      <c r="B3083" s="384">
        <v>2026</v>
      </c>
      <c r="C3083" s="384">
        <v>5</v>
      </c>
      <c r="D3083" s="367" t="s">
        <v>5</v>
      </c>
      <c r="E3083" s="367" t="s">
        <v>6</v>
      </c>
      <c r="F3083" s="389" t="s">
        <v>4982</v>
      </c>
      <c r="G3083" s="385">
        <v>45962</v>
      </c>
      <c r="H3083" s="367" t="s">
        <v>9</v>
      </c>
      <c r="I3083" s="368" t="str">
        <f>VLOOKUP(H3083,'Source Codes'!A$2:B$115,2,FALSE)</f>
        <v>On Line Journal Entries</v>
      </c>
      <c r="J3083" s="412">
        <v>14046177</v>
      </c>
      <c r="K3083" s="385">
        <v>45987</v>
      </c>
      <c r="L3083" s="369" t="s">
        <v>344</v>
      </c>
      <c r="M3083" s="390">
        <v>45987.86959490741</v>
      </c>
      <c r="N3083" s="368" t="s">
        <v>356</v>
      </c>
      <c r="O3083" s="368" t="s">
        <v>364</v>
      </c>
      <c r="P3083" s="368" t="str">
        <f t="shared" si="84"/>
        <v>Revenue</v>
      </c>
      <c r="Q3083" s="366" t="s">
        <v>2232</v>
      </c>
      <c r="R3083" s="365" t="s">
        <v>2232</v>
      </c>
      <c r="S3083" s="366" t="s">
        <v>2532</v>
      </c>
    </row>
    <row r="3084" spans="1:19" ht="30" hidden="1" outlineLevel="1">
      <c r="B3084" s="384">
        <v>2026</v>
      </c>
      <c r="C3084" s="384">
        <v>5</v>
      </c>
      <c r="D3084" s="367" t="s">
        <v>5</v>
      </c>
      <c r="E3084" s="367" t="s">
        <v>6</v>
      </c>
      <c r="F3084" s="389" t="s">
        <v>4983</v>
      </c>
      <c r="G3084" s="385">
        <v>45980</v>
      </c>
      <c r="H3084" s="367" t="s">
        <v>9</v>
      </c>
      <c r="I3084" s="368" t="str">
        <f>VLOOKUP(H3084,'Source Codes'!A$2:B$115,2,FALSE)</f>
        <v>On Line Journal Entries</v>
      </c>
      <c r="J3084" s="412">
        <v>13013259</v>
      </c>
      <c r="K3084" s="385">
        <v>45987</v>
      </c>
      <c r="L3084" s="369" t="s">
        <v>344</v>
      </c>
      <c r="M3084" s="390">
        <v>45987.86959490741</v>
      </c>
      <c r="N3084" s="368" t="s">
        <v>356</v>
      </c>
      <c r="O3084" s="368" t="s">
        <v>364</v>
      </c>
      <c r="P3084" s="368" t="str">
        <f t="shared" si="84"/>
        <v>Revenue</v>
      </c>
      <c r="Q3084" s="366" t="s">
        <v>2232</v>
      </c>
      <c r="R3084" s="365" t="s">
        <v>2232</v>
      </c>
      <c r="S3084" s="366" t="s">
        <v>4987</v>
      </c>
    </row>
    <row r="3085" spans="1:19" ht="30" hidden="1" outlineLevel="1">
      <c r="B3085" s="384">
        <v>2026</v>
      </c>
      <c r="C3085" s="384">
        <v>5</v>
      </c>
      <c r="D3085" s="367" t="s">
        <v>5</v>
      </c>
      <c r="E3085" s="367" t="s">
        <v>6</v>
      </c>
      <c r="F3085" s="389" t="s">
        <v>4984</v>
      </c>
      <c r="G3085" s="385">
        <v>45962</v>
      </c>
      <c r="H3085" s="367" t="s">
        <v>9</v>
      </c>
      <c r="I3085" s="368" t="str">
        <f>VLOOKUP(H3085,'Source Codes'!A$2:B$115,2,FALSE)</f>
        <v>On Line Journal Entries</v>
      </c>
      <c r="J3085" s="412">
        <v>12668451</v>
      </c>
      <c r="K3085" s="385">
        <v>45987</v>
      </c>
      <c r="L3085" s="369" t="s">
        <v>344</v>
      </c>
      <c r="M3085" s="390">
        <v>45987.86959490741</v>
      </c>
      <c r="N3085" s="368" t="s">
        <v>356</v>
      </c>
      <c r="O3085" s="368" t="s">
        <v>364</v>
      </c>
      <c r="P3085" s="368" t="str">
        <f t="shared" si="84"/>
        <v>Revenue</v>
      </c>
      <c r="Q3085" s="366" t="s">
        <v>2232</v>
      </c>
      <c r="R3085" s="365" t="s">
        <v>2232</v>
      </c>
      <c r="S3085" s="366" t="s">
        <v>2233</v>
      </c>
    </row>
    <row r="3086" spans="1:19" ht="15" hidden="1" outlineLevel="1">
      <c r="B3086" s="384">
        <v>2026</v>
      </c>
      <c r="C3086" s="384">
        <v>5</v>
      </c>
      <c r="D3086" s="367" t="s">
        <v>5</v>
      </c>
      <c r="E3086" s="367" t="s">
        <v>6</v>
      </c>
      <c r="F3086" s="389" t="s">
        <v>4985</v>
      </c>
      <c r="G3086" s="385">
        <v>45987</v>
      </c>
      <c r="H3086" s="367" t="s">
        <v>7</v>
      </c>
      <c r="I3086" s="368" t="str">
        <f>VLOOKUP(H3086,'Source Codes'!A$2:B$115,2,FALSE)</f>
        <v>HRMS Interface Journals</v>
      </c>
      <c r="J3086" s="412">
        <v>-1038903.57</v>
      </c>
      <c r="K3086" s="385">
        <v>45987</v>
      </c>
      <c r="L3086" s="369" t="s">
        <v>406</v>
      </c>
      <c r="M3086" s="390">
        <v>45987.349814814814</v>
      </c>
      <c r="N3086" s="368" t="s">
        <v>378</v>
      </c>
      <c r="O3086" s="368" t="s">
        <v>371</v>
      </c>
      <c r="P3086" s="368" t="str">
        <f t="shared" si="84"/>
        <v>Expense</v>
      </c>
      <c r="Q3086" s="366" t="s">
        <v>379</v>
      </c>
      <c r="R3086" s="365" t="s">
        <v>4988</v>
      </c>
      <c r="S3086" s="366">
        <v>510200</v>
      </c>
    </row>
    <row r="3087" spans="1:19" ht="12.75" customHeight="1" collapsed="1">
      <c r="J3087" s="413">
        <f>SUM(J3082:J3086)</f>
        <v>43687983.649999999</v>
      </c>
    </row>
    <row r="3088" spans="1:19" ht="15"/>
    <row r="3089" spans="1:19" ht="15">
      <c r="A3089" s="378" t="s">
        <v>4989</v>
      </c>
    </row>
    <row r="3090" spans="1:19" ht="30" hidden="1" outlineLevel="1">
      <c r="B3090" s="384">
        <v>2026</v>
      </c>
      <c r="C3090" s="384">
        <v>6</v>
      </c>
      <c r="D3090" s="367" t="s">
        <v>5</v>
      </c>
      <c r="E3090" s="367" t="s">
        <v>6</v>
      </c>
      <c r="F3090" s="389" t="s">
        <v>4990</v>
      </c>
      <c r="G3090" s="385">
        <v>45994</v>
      </c>
      <c r="H3090" s="367" t="s">
        <v>14</v>
      </c>
      <c r="I3090" s="368" t="str">
        <f>VLOOKUP(H3090,'Source Codes'!A$2:B$115,2,FALSE)</f>
        <v>AP Warrant Issuance</v>
      </c>
      <c r="J3090" s="412">
        <v>-2926128.6</v>
      </c>
      <c r="K3090" s="385">
        <v>45992</v>
      </c>
      <c r="L3090" s="369" t="s">
        <v>5012</v>
      </c>
      <c r="M3090" s="390">
        <v>45992.758703703701</v>
      </c>
      <c r="N3090" s="368" t="s">
        <v>356</v>
      </c>
      <c r="O3090" s="368" t="s">
        <v>368</v>
      </c>
      <c r="P3090" s="368" t="str">
        <f t="shared" ref="P3090:P3102" si="85">IF(J3090&gt;0,"Revenue",IF(J3090&lt;0,"Expense"))</f>
        <v>Expense</v>
      </c>
      <c r="Q3090" s="366" t="s">
        <v>2154</v>
      </c>
      <c r="R3090" s="365" t="s">
        <v>2154</v>
      </c>
      <c r="S3090" s="366" t="s">
        <v>203</v>
      </c>
    </row>
    <row r="3091" spans="1:19" ht="30" hidden="1" outlineLevel="1">
      <c r="B3091" s="384">
        <v>2026</v>
      </c>
      <c r="C3091" s="384">
        <v>6</v>
      </c>
      <c r="D3091" s="367" t="s">
        <v>5</v>
      </c>
      <c r="E3091" s="367" t="s">
        <v>6</v>
      </c>
      <c r="F3091" s="389" t="s">
        <v>4991</v>
      </c>
      <c r="G3091" s="385">
        <v>45992</v>
      </c>
      <c r="H3091" s="367" t="s">
        <v>14</v>
      </c>
      <c r="I3091" s="368" t="str">
        <f>VLOOKUP(H3091,'Source Codes'!A$2:B$115,2,FALSE)</f>
        <v>AP Warrant Issuance</v>
      </c>
      <c r="J3091" s="412">
        <v>-2703853.23</v>
      </c>
      <c r="K3091" s="385">
        <v>45992</v>
      </c>
      <c r="L3091" s="369" t="s">
        <v>5013</v>
      </c>
      <c r="M3091" s="390">
        <v>45992.758703703701</v>
      </c>
      <c r="N3091" s="368" t="s">
        <v>356</v>
      </c>
      <c r="O3091" s="368" t="s">
        <v>368</v>
      </c>
      <c r="P3091" s="368" t="str">
        <f t="shared" si="85"/>
        <v>Expense</v>
      </c>
      <c r="Q3091" s="366" t="s">
        <v>2154</v>
      </c>
      <c r="R3091" s="365" t="s">
        <v>2154</v>
      </c>
      <c r="S3091" s="366" t="s">
        <v>203</v>
      </c>
    </row>
    <row r="3092" spans="1:19" ht="45" hidden="1" outlineLevel="1">
      <c r="B3092" s="384">
        <v>2026</v>
      </c>
      <c r="C3092" s="384">
        <v>5</v>
      </c>
      <c r="D3092" s="367" t="s">
        <v>5</v>
      </c>
      <c r="E3092" s="367" t="s">
        <v>6</v>
      </c>
      <c r="F3092" s="389" t="s">
        <v>4992</v>
      </c>
      <c r="G3092" s="385">
        <v>45975</v>
      </c>
      <c r="H3092" s="367" t="s">
        <v>12</v>
      </c>
      <c r="I3092" s="368" t="str">
        <f>VLOOKUP(H3092,'Source Codes'!A$2:B$115,2,FALSE)</f>
        <v>AR Direct Cash Journal</v>
      </c>
      <c r="J3092" s="412">
        <v>13047883.84</v>
      </c>
      <c r="K3092" s="385">
        <v>45992</v>
      </c>
      <c r="L3092" s="369" t="s">
        <v>5015</v>
      </c>
      <c r="M3092" s="390">
        <v>45992.752106481479</v>
      </c>
      <c r="N3092" s="368" t="s">
        <v>356</v>
      </c>
      <c r="O3092" s="368" t="s">
        <v>368</v>
      </c>
      <c r="P3092" s="368" t="str">
        <f t="shared" si="85"/>
        <v>Revenue</v>
      </c>
      <c r="Q3092" s="366" t="s">
        <v>2177</v>
      </c>
      <c r="R3092" s="365" t="s">
        <v>2214</v>
      </c>
      <c r="S3092" s="366" t="s">
        <v>5014</v>
      </c>
    </row>
    <row r="3093" spans="1:19" ht="45" hidden="1" outlineLevel="1">
      <c r="B3093" s="384">
        <v>2026</v>
      </c>
      <c r="C3093" s="384">
        <v>5</v>
      </c>
      <c r="D3093" s="367" t="s">
        <v>5</v>
      </c>
      <c r="E3093" s="367" t="s">
        <v>6</v>
      </c>
      <c r="F3093" s="389" t="s">
        <v>4993</v>
      </c>
      <c r="G3093" s="385">
        <v>45965</v>
      </c>
      <c r="H3093" s="367" t="s">
        <v>12</v>
      </c>
      <c r="I3093" s="368" t="str">
        <f>VLOOKUP(H3093,'Source Codes'!A$2:B$115,2,FALSE)</f>
        <v>AR Direct Cash Journal</v>
      </c>
      <c r="J3093" s="412">
        <v>26527083.789999999</v>
      </c>
      <c r="K3093" s="385">
        <v>45992</v>
      </c>
      <c r="L3093" s="369" t="s">
        <v>5017</v>
      </c>
      <c r="M3093" s="390">
        <v>45992.752106481479</v>
      </c>
      <c r="N3093" s="368" t="s">
        <v>356</v>
      </c>
      <c r="O3093" s="368" t="s">
        <v>368</v>
      </c>
      <c r="P3093" s="368" t="str">
        <f t="shared" si="85"/>
        <v>Revenue</v>
      </c>
      <c r="Q3093" s="366" t="s">
        <v>2177</v>
      </c>
      <c r="R3093" s="365" t="s">
        <v>2214</v>
      </c>
      <c r="S3093" s="366" t="s">
        <v>5016</v>
      </c>
    </row>
    <row r="3094" spans="1:19" ht="30" hidden="1" outlineLevel="1">
      <c r="B3094" s="384">
        <v>2026</v>
      </c>
      <c r="C3094" s="384">
        <v>5</v>
      </c>
      <c r="D3094" s="367" t="s">
        <v>5</v>
      </c>
      <c r="E3094" s="367" t="s">
        <v>6</v>
      </c>
      <c r="F3094" s="389" t="s">
        <v>4994</v>
      </c>
      <c r="G3094" s="385">
        <v>45987</v>
      </c>
      <c r="H3094" s="367" t="s">
        <v>9</v>
      </c>
      <c r="I3094" s="368" t="str">
        <f>VLOOKUP(H3094,'Source Codes'!A$2:B$115,2,FALSE)</f>
        <v>On Line Journal Entries</v>
      </c>
      <c r="J3094" s="412">
        <v>28159667.07</v>
      </c>
      <c r="K3094" s="385">
        <v>45992</v>
      </c>
      <c r="L3094" s="369" t="s">
        <v>5003</v>
      </c>
      <c r="M3094" s="390">
        <v>45992.869745370372</v>
      </c>
      <c r="N3094" s="368" t="s">
        <v>359</v>
      </c>
      <c r="O3094" s="368" t="s">
        <v>371</v>
      </c>
      <c r="P3094" s="368" t="str">
        <f t="shared" si="85"/>
        <v>Revenue</v>
      </c>
      <c r="Q3094" s="366" t="s">
        <v>2158</v>
      </c>
      <c r="R3094" s="365" t="s">
        <v>5018</v>
      </c>
      <c r="S3094" s="366">
        <v>755120</v>
      </c>
    </row>
    <row r="3095" spans="1:19" ht="45" hidden="1" outlineLevel="1">
      <c r="B3095" s="384">
        <v>2026</v>
      </c>
      <c r="C3095" s="384">
        <v>5</v>
      </c>
      <c r="D3095" s="367" t="s">
        <v>5</v>
      </c>
      <c r="E3095" s="367" t="s">
        <v>6</v>
      </c>
      <c r="F3095" s="389" t="s">
        <v>4995</v>
      </c>
      <c r="G3095" s="385">
        <v>45986</v>
      </c>
      <c r="H3095" s="367" t="s">
        <v>9</v>
      </c>
      <c r="I3095" s="368" t="str">
        <f>VLOOKUP(H3095,'Source Codes'!A$2:B$115,2,FALSE)</f>
        <v>On Line Journal Entries</v>
      </c>
      <c r="J3095" s="412">
        <v>13524197.9</v>
      </c>
      <c r="K3095" s="385">
        <v>45992</v>
      </c>
      <c r="L3095" s="369" t="s">
        <v>5004</v>
      </c>
      <c r="M3095" s="390">
        <v>45992.869745370372</v>
      </c>
      <c r="N3095" s="368" t="s">
        <v>359</v>
      </c>
      <c r="O3095" s="368" t="s">
        <v>371</v>
      </c>
      <c r="P3095" s="368" t="str">
        <f t="shared" si="85"/>
        <v>Revenue</v>
      </c>
      <c r="Q3095" s="366" t="s">
        <v>2427</v>
      </c>
      <c r="R3095" s="365" t="s">
        <v>5019</v>
      </c>
      <c r="S3095" s="366" t="s">
        <v>2160</v>
      </c>
    </row>
    <row r="3096" spans="1:19" ht="60" hidden="1" outlineLevel="1">
      <c r="B3096" s="384">
        <v>2026</v>
      </c>
      <c r="C3096" s="384">
        <v>5</v>
      </c>
      <c r="D3096" s="367" t="s">
        <v>5</v>
      </c>
      <c r="E3096" s="367" t="s">
        <v>6</v>
      </c>
      <c r="F3096" s="389" t="s">
        <v>4996</v>
      </c>
      <c r="G3096" s="385">
        <v>45986</v>
      </c>
      <c r="H3096" s="367" t="s">
        <v>9</v>
      </c>
      <c r="I3096" s="368" t="str">
        <f>VLOOKUP(H3096,'Source Codes'!A$2:B$115,2,FALSE)</f>
        <v>On Line Journal Entries</v>
      </c>
      <c r="J3096" s="412">
        <v>3348859.09</v>
      </c>
      <c r="K3096" s="385">
        <v>45992</v>
      </c>
      <c r="L3096" s="369" t="s">
        <v>5005</v>
      </c>
      <c r="M3096" s="390">
        <v>45992.869745370372</v>
      </c>
      <c r="N3096" s="368" t="s">
        <v>359</v>
      </c>
      <c r="O3096" s="368" t="s">
        <v>371</v>
      </c>
      <c r="P3096" s="368" t="str">
        <f t="shared" si="85"/>
        <v>Revenue</v>
      </c>
      <c r="Q3096" s="366" t="s">
        <v>3577</v>
      </c>
      <c r="R3096" s="365" t="s">
        <v>5020</v>
      </c>
      <c r="S3096" s="366">
        <v>750900</v>
      </c>
    </row>
    <row r="3097" spans="1:19" ht="15" hidden="1" outlineLevel="1">
      <c r="B3097" s="384">
        <v>2026</v>
      </c>
      <c r="C3097" s="384">
        <v>5</v>
      </c>
      <c r="D3097" s="367" t="s">
        <v>5</v>
      </c>
      <c r="E3097" s="367" t="s">
        <v>6</v>
      </c>
      <c r="F3097" s="389" t="s">
        <v>4997</v>
      </c>
      <c r="G3097" s="385">
        <v>45987</v>
      </c>
      <c r="H3097" s="367" t="s">
        <v>9</v>
      </c>
      <c r="I3097" s="368" t="str">
        <f>VLOOKUP(H3097,'Source Codes'!A$2:B$115,2,FALSE)</f>
        <v>On Line Journal Entries</v>
      </c>
      <c r="J3097" s="412">
        <v>1981952.33</v>
      </c>
      <c r="K3097" s="385">
        <v>45992</v>
      </c>
      <c r="L3097" s="369" t="s">
        <v>5006</v>
      </c>
      <c r="M3097" s="390">
        <v>45992.869745370372</v>
      </c>
      <c r="N3097" s="368" t="s">
        <v>359</v>
      </c>
      <c r="O3097" s="368" t="s">
        <v>371</v>
      </c>
      <c r="P3097" s="368" t="str">
        <f t="shared" si="85"/>
        <v>Revenue</v>
      </c>
      <c r="Q3097" s="366" t="s">
        <v>2164</v>
      </c>
      <c r="R3097" s="394" t="s">
        <v>5022</v>
      </c>
      <c r="S3097" s="366">
        <v>755909</v>
      </c>
    </row>
    <row r="3098" spans="1:19" ht="30" hidden="1" outlineLevel="1">
      <c r="B3098" s="384">
        <v>2026</v>
      </c>
      <c r="C3098" s="384">
        <v>5</v>
      </c>
      <c r="D3098" s="367" t="s">
        <v>5</v>
      </c>
      <c r="E3098" s="367" t="s">
        <v>6</v>
      </c>
      <c r="F3098" s="389" t="s">
        <v>4998</v>
      </c>
      <c r="G3098" s="385">
        <v>45967</v>
      </c>
      <c r="H3098" s="367" t="s">
        <v>337</v>
      </c>
      <c r="I3098" s="368" t="str">
        <f>VLOOKUP(H3098,'Source Codes'!A$2:B$115,2,FALSE)</f>
        <v>Facilities Mngmnt Intfc Jrnls</v>
      </c>
      <c r="J3098" s="412">
        <v>-1175593.8600000001</v>
      </c>
      <c r="K3098" s="385">
        <v>45992</v>
      </c>
      <c r="L3098" s="369" t="s">
        <v>5007</v>
      </c>
      <c r="M3098" s="390">
        <v>45992.869791666664</v>
      </c>
      <c r="N3098" s="368" t="s">
        <v>359</v>
      </c>
      <c r="O3098" s="368" t="s">
        <v>367</v>
      </c>
      <c r="P3098" s="368" t="str">
        <f t="shared" si="85"/>
        <v>Expense</v>
      </c>
      <c r="Q3098" s="366" t="s">
        <v>2337</v>
      </c>
      <c r="R3098" s="365" t="s">
        <v>5023</v>
      </c>
      <c r="S3098" s="366">
        <v>522365</v>
      </c>
    </row>
    <row r="3099" spans="1:19" ht="45" hidden="1" outlineLevel="1">
      <c r="B3099" s="384">
        <v>2026</v>
      </c>
      <c r="C3099" s="384">
        <v>5</v>
      </c>
      <c r="D3099" s="367" t="s">
        <v>5</v>
      </c>
      <c r="E3099" s="367" t="s">
        <v>6</v>
      </c>
      <c r="F3099" s="389" t="s">
        <v>4999</v>
      </c>
      <c r="G3099" s="385">
        <v>45986</v>
      </c>
      <c r="H3099" s="367" t="s">
        <v>9</v>
      </c>
      <c r="I3099" s="368" t="str">
        <f>VLOOKUP(H3099,'Source Codes'!A$2:B$115,2,FALSE)</f>
        <v>On Line Journal Entries</v>
      </c>
      <c r="J3099" s="412">
        <v>-1195494.55</v>
      </c>
      <c r="K3099" s="385">
        <v>45992</v>
      </c>
      <c r="L3099" s="369" t="s">
        <v>5008</v>
      </c>
      <c r="M3099" s="390">
        <v>45992.869745370372</v>
      </c>
      <c r="N3099" s="368" t="s">
        <v>359</v>
      </c>
      <c r="O3099" s="368" t="s">
        <v>371</v>
      </c>
      <c r="P3099" s="368" t="str">
        <f t="shared" si="85"/>
        <v>Expense</v>
      </c>
      <c r="Q3099" s="366" t="s">
        <v>3579</v>
      </c>
      <c r="R3099" s="365" t="s">
        <v>5024</v>
      </c>
      <c r="S3099" s="366" t="s">
        <v>2166</v>
      </c>
    </row>
    <row r="3100" spans="1:19" ht="15" hidden="1" outlineLevel="1">
      <c r="B3100" s="384">
        <v>2026</v>
      </c>
      <c r="C3100" s="384">
        <v>5</v>
      </c>
      <c r="D3100" s="367" t="s">
        <v>5</v>
      </c>
      <c r="E3100" s="367" t="s">
        <v>6</v>
      </c>
      <c r="F3100" s="389" t="s">
        <v>5000</v>
      </c>
      <c r="G3100" s="385">
        <v>45967</v>
      </c>
      <c r="H3100" s="367" t="s">
        <v>337</v>
      </c>
      <c r="I3100" s="368" t="str">
        <f>VLOOKUP(H3100,'Source Codes'!A$2:B$115,2,FALSE)</f>
        <v>Facilities Mngmnt Intfc Jrnls</v>
      </c>
      <c r="J3100" s="412">
        <v>-2721515.43</v>
      </c>
      <c r="K3100" s="385">
        <v>45992</v>
      </c>
      <c r="L3100" s="369" t="s">
        <v>5009</v>
      </c>
      <c r="M3100" s="390">
        <v>45992.869791666664</v>
      </c>
      <c r="N3100" s="368" t="s">
        <v>359</v>
      </c>
      <c r="O3100" s="368" t="s">
        <v>367</v>
      </c>
      <c r="P3100" s="368" t="str">
        <f t="shared" si="85"/>
        <v>Expense</v>
      </c>
      <c r="Q3100" s="366" t="s">
        <v>2337</v>
      </c>
      <c r="R3100" s="365" t="s">
        <v>5025</v>
      </c>
      <c r="S3100" s="366">
        <v>522385</v>
      </c>
    </row>
    <row r="3101" spans="1:19" ht="30" hidden="1" outlineLevel="1">
      <c r="B3101" s="384">
        <v>2026</v>
      </c>
      <c r="C3101" s="384">
        <v>5</v>
      </c>
      <c r="D3101" s="367" t="s">
        <v>5</v>
      </c>
      <c r="E3101" s="367" t="s">
        <v>6</v>
      </c>
      <c r="F3101" s="389" t="s">
        <v>5001</v>
      </c>
      <c r="G3101" s="385">
        <v>45980</v>
      </c>
      <c r="H3101" s="367" t="s">
        <v>337</v>
      </c>
      <c r="I3101" s="368" t="str">
        <f>VLOOKUP(H3101,'Source Codes'!A$2:B$115,2,FALSE)</f>
        <v>Facilities Mngmnt Intfc Jrnls</v>
      </c>
      <c r="J3101" s="412">
        <v>-4435047.4000000004</v>
      </c>
      <c r="K3101" s="385">
        <v>45992</v>
      </c>
      <c r="L3101" s="369" t="s">
        <v>5010</v>
      </c>
      <c r="M3101" s="390">
        <v>45992.869791666664</v>
      </c>
      <c r="N3101" s="368" t="s">
        <v>359</v>
      </c>
      <c r="O3101" s="368" t="s">
        <v>367</v>
      </c>
      <c r="P3101" s="368" t="str">
        <f t="shared" si="85"/>
        <v>Expense</v>
      </c>
      <c r="Q3101" s="366" t="s">
        <v>2237</v>
      </c>
      <c r="R3101" s="365" t="s">
        <v>5026</v>
      </c>
      <c r="S3101" s="366" t="s">
        <v>2239</v>
      </c>
    </row>
    <row r="3102" spans="1:19" ht="60" hidden="1" outlineLevel="1">
      <c r="B3102" s="384">
        <v>2026</v>
      </c>
      <c r="C3102" s="384">
        <v>5</v>
      </c>
      <c r="D3102" s="367" t="s">
        <v>5</v>
      </c>
      <c r="E3102" s="367" t="s">
        <v>6</v>
      </c>
      <c r="F3102" s="389" t="s">
        <v>5002</v>
      </c>
      <c r="G3102" s="385">
        <v>45980</v>
      </c>
      <c r="H3102" s="367" t="s">
        <v>9</v>
      </c>
      <c r="I3102" s="368" t="str">
        <f>VLOOKUP(H3102,'Source Codes'!A$2:B$115,2,FALSE)</f>
        <v>On Line Journal Entries</v>
      </c>
      <c r="J3102" s="412">
        <v>-5000000</v>
      </c>
      <c r="K3102" s="385">
        <v>45992</v>
      </c>
      <c r="L3102" s="369" t="s">
        <v>5011</v>
      </c>
      <c r="M3102" s="390">
        <v>45992.869745370372</v>
      </c>
      <c r="N3102" s="368" t="s">
        <v>2185</v>
      </c>
      <c r="O3102" s="368" t="s">
        <v>358</v>
      </c>
      <c r="P3102" s="368" t="str">
        <f t="shared" si="85"/>
        <v>Expense</v>
      </c>
      <c r="Q3102" s="366" t="s">
        <v>5027</v>
      </c>
      <c r="R3102" s="366" t="s">
        <v>5027</v>
      </c>
      <c r="S3102" s="366">
        <v>551100</v>
      </c>
    </row>
    <row r="3103" spans="1:19" ht="15" collapsed="1">
      <c r="J3103" s="413">
        <f>SUM(J3090:J3102)</f>
        <v>66432010.949999988</v>
      </c>
    </row>
    <row r="3105" spans="1:19" ht="12.75" customHeight="1">
      <c r="A3105" s="378" t="s">
        <v>5028</v>
      </c>
    </row>
    <row r="3106" spans="1:19" ht="30" hidden="1" outlineLevel="1">
      <c r="B3106" s="384">
        <v>2026</v>
      </c>
      <c r="C3106" s="384">
        <v>6</v>
      </c>
      <c r="D3106" s="367" t="s">
        <v>5</v>
      </c>
      <c r="E3106" s="367" t="s">
        <v>6</v>
      </c>
      <c r="F3106" s="389" t="s">
        <v>5029</v>
      </c>
      <c r="G3106" s="385">
        <v>45992</v>
      </c>
      <c r="H3106" s="367" t="s">
        <v>9</v>
      </c>
      <c r="I3106" s="368" t="str">
        <f>VLOOKUP(H3106,'Source Codes'!A$2:B$115,2,FALSE)</f>
        <v>On Line Journal Entries</v>
      </c>
      <c r="J3106" s="412">
        <v>14750000</v>
      </c>
      <c r="K3106" s="385">
        <v>45993</v>
      </c>
      <c r="L3106" s="369" t="s">
        <v>2487</v>
      </c>
      <c r="M3106" s="390">
        <v>45993.869675925926</v>
      </c>
      <c r="N3106" s="368" t="s">
        <v>377</v>
      </c>
      <c r="O3106" s="368" t="s">
        <v>371</v>
      </c>
      <c r="P3106" s="368" t="str">
        <f t="shared" ref="P3106:P3108" si="86">IF(J3106&gt;0,"Revenue",IF(J3106&lt;0,"Expense"))</f>
        <v>Revenue</v>
      </c>
      <c r="Q3106" s="366" t="s">
        <v>252</v>
      </c>
      <c r="R3106" s="366" t="s">
        <v>252</v>
      </c>
      <c r="S3106" s="366">
        <v>733030</v>
      </c>
    </row>
    <row r="3107" spans="1:19" ht="30" hidden="1" outlineLevel="1">
      <c r="B3107" s="384">
        <v>2026</v>
      </c>
      <c r="C3107" s="384">
        <v>5</v>
      </c>
      <c r="D3107" s="367" t="s">
        <v>5</v>
      </c>
      <c r="E3107" s="367" t="s">
        <v>6</v>
      </c>
      <c r="F3107" s="389" t="s">
        <v>5030</v>
      </c>
      <c r="G3107" s="385">
        <v>45973</v>
      </c>
      <c r="H3107" s="367" t="s">
        <v>2113</v>
      </c>
      <c r="I3107" s="368" t="str">
        <f>VLOOKUP(H3107,'Source Codes'!A$2:B$115,2,FALSE)</f>
        <v>Payroll TAP Service Fees</v>
      </c>
      <c r="J3107" s="412">
        <v>-1162538.3799999999</v>
      </c>
      <c r="K3107" s="385">
        <v>45993</v>
      </c>
      <c r="L3107" s="369" t="s">
        <v>5032</v>
      </c>
      <c r="M3107" s="390">
        <v>45993.869791666664</v>
      </c>
      <c r="N3107" s="368" t="s">
        <v>2185</v>
      </c>
      <c r="O3107" s="368" t="s">
        <v>379</v>
      </c>
      <c r="P3107" s="368" t="str">
        <f t="shared" si="86"/>
        <v>Expense</v>
      </c>
      <c r="Q3107" s="366" t="s">
        <v>379</v>
      </c>
      <c r="R3107" s="366" t="s">
        <v>4929</v>
      </c>
      <c r="S3107" s="366">
        <v>515040</v>
      </c>
    </row>
    <row r="3108" spans="1:19" ht="30" hidden="1" outlineLevel="1">
      <c r="B3108" s="384">
        <v>2026</v>
      </c>
      <c r="C3108" s="384">
        <v>5</v>
      </c>
      <c r="D3108" s="367" t="s">
        <v>5</v>
      </c>
      <c r="E3108" s="367" t="s">
        <v>6</v>
      </c>
      <c r="F3108" s="389" t="s">
        <v>5031</v>
      </c>
      <c r="G3108" s="385">
        <v>45987</v>
      </c>
      <c r="H3108" s="367" t="s">
        <v>2113</v>
      </c>
      <c r="I3108" s="368" t="str">
        <f>VLOOKUP(H3108,'Source Codes'!A$2:B$115,2,FALSE)</f>
        <v>Payroll TAP Service Fees</v>
      </c>
      <c r="J3108" s="412">
        <v>-1372318.93</v>
      </c>
      <c r="K3108" s="385">
        <v>45993</v>
      </c>
      <c r="L3108" s="369" t="s">
        <v>5033</v>
      </c>
      <c r="M3108" s="390">
        <v>45993.556296296294</v>
      </c>
      <c r="N3108" s="368" t="s">
        <v>2185</v>
      </c>
      <c r="O3108" s="368" t="s">
        <v>379</v>
      </c>
      <c r="P3108" s="368" t="str">
        <f t="shared" si="86"/>
        <v>Expense</v>
      </c>
      <c r="Q3108" s="366" t="s">
        <v>379</v>
      </c>
      <c r="R3108" s="366" t="s">
        <v>4988</v>
      </c>
      <c r="S3108" s="366">
        <v>515040</v>
      </c>
    </row>
    <row r="3109" spans="1:19" ht="15" collapsed="1">
      <c r="J3109" s="413">
        <f>SUM(J3106:J3108)</f>
        <v>12215142.690000001</v>
      </c>
    </row>
    <row r="3111" spans="1:19" ht="12.75" customHeight="1">
      <c r="A3111" s="378" t="s">
        <v>5034</v>
      </c>
    </row>
    <row r="3112" spans="1:19" ht="30" hidden="1" outlineLevel="1">
      <c r="B3112" s="384">
        <v>2026</v>
      </c>
      <c r="C3112" s="384">
        <v>6</v>
      </c>
      <c r="D3112" s="367" t="s">
        <v>5</v>
      </c>
      <c r="E3112" s="367" t="s">
        <v>6</v>
      </c>
      <c r="F3112" s="389" t="s">
        <v>5035</v>
      </c>
      <c r="G3112" s="385">
        <v>45996</v>
      </c>
      <c r="H3112" s="367" t="s">
        <v>14</v>
      </c>
      <c r="I3112" s="368" t="str">
        <f>VLOOKUP(H3112,'Source Codes'!A$2:B$115,2,FALSE)</f>
        <v>AP Warrant Issuance</v>
      </c>
      <c r="J3112" s="412">
        <v>-1360807.18</v>
      </c>
      <c r="K3112" s="385">
        <v>45994</v>
      </c>
      <c r="L3112" s="369" t="s">
        <v>5040</v>
      </c>
      <c r="M3112" s="390">
        <v>45994.759143518517</v>
      </c>
      <c r="N3112" s="368" t="s">
        <v>356</v>
      </c>
      <c r="O3112" s="368" t="s">
        <v>368</v>
      </c>
      <c r="P3112" s="368" t="str">
        <f t="shared" ref="P3112:P3116" si="87">IF(J3112&gt;0,"Revenue",IF(J3112&lt;0,"Expense"))</f>
        <v>Expense</v>
      </c>
      <c r="Q3112" s="366" t="s">
        <v>2154</v>
      </c>
      <c r="R3112" s="366" t="s">
        <v>2154</v>
      </c>
      <c r="S3112" s="366" t="s">
        <v>203</v>
      </c>
    </row>
    <row r="3113" spans="1:19" ht="45" hidden="1" outlineLevel="1">
      <c r="B3113" s="384">
        <v>2026</v>
      </c>
      <c r="C3113" s="384">
        <v>5</v>
      </c>
      <c r="D3113" s="367" t="s">
        <v>5</v>
      </c>
      <c r="E3113" s="367" t="s">
        <v>6</v>
      </c>
      <c r="F3113" s="389" t="s">
        <v>5036</v>
      </c>
      <c r="G3113" s="385">
        <v>45973</v>
      </c>
      <c r="H3113" s="367" t="s">
        <v>9</v>
      </c>
      <c r="I3113" s="368" t="str">
        <f>VLOOKUP(H3113,'Source Codes'!A$2:B$115,2,FALSE)</f>
        <v>On Line Journal Entries</v>
      </c>
      <c r="J3113" s="412">
        <v>4778523.1100000003</v>
      </c>
      <c r="K3113" s="385">
        <v>45994</v>
      </c>
      <c r="L3113" s="369" t="s">
        <v>5041</v>
      </c>
      <c r="M3113" s="390">
        <v>45994.516284722224</v>
      </c>
      <c r="N3113" s="368" t="s">
        <v>361</v>
      </c>
      <c r="O3113" s="368" t="s">
        <v>368</v>
      </c>
      <c r="P3113" s="368" t="str">
        <f t="shared" si="87"/>
        <v>Revenue</v>
      </c>
      <c r="Q3113" s="366" t="s">
        <v>2177</v>
      </c>
      <c r="R3113" s="366" t="s">
        <v>3123</v>
      </c>
      <c r="S3113" s="366">
        <v>767210</v>
      </c>
    </row>
    <row r="3114" spans="1:19" ht="15" hidden="1" outlineLevel="1">
      <c r="B3114" s="384">
        <v>2026</v>
      </c>
      <c r="C3114" s="384">
        <v>5</v>
      </c>
      <c r="D3114" s="367" t="s">
        <v>5</v>
      </c>
      <c r="E3114" s="367" t="s">
        <v>6</v>
      </c>
      <c r="F3114" s="389" t="s">
        <v>5037</v>
      </c>
      <c r="G3114" s="385">
        <v>45987</v>
      </c>
      <c r="H3114" s="367" t="s">
        <v>7</v>
      </c>
      <c r="I3114" s="368" t="str">
        <f>VLOOKUP(H3114,'Source Codes'!A$2:B$115,2,FALSE)</f>
        <v>HRMS Interface Journals</v>
      </c>
      <c r="J3114" s="412">
        <v>-2422008.94</v>
      </c>
      <c r="K3114" s="385">
        <v>45994</v>
      </c>
      <c r="L3114" s="369" t="s">
        <v>409</v>
      </c>
      <c r="M3114" s="390">
        <v>45994.333599537036</v>
      </c>
      <c r="N3114" s="368" t="s">
        <v>378</v>
      </c>
      <c r="O3114" s="368" t="s">
        <v>379</v>
      </c>
      <c r="P3114" s="368" t="str">
        <f t="shared" si="87"/>
        <v>Expense</v>
      </c>
      <c r="Q3114" s="366" t="s">
        <v>379</v>
      </c>
      <c r="R3114" s="366" t="s">
        <v>4988</v>
      </c>
      <c r="S3114" s="366">
        <v>513120</v>
      </c>
    </row>
    <row r="3115" spans="1:19" ht="15" hidden="1" outlineLevel="1">
      <c r="B3115" s="384">
        <v>2026</v>
      </c>
      <c r="C3115" s="384">
        <v>5</v>
      </c>
      <c r="D3115" s="367" t="s">
        <v>5</v>
      </c>
      <c r="E3115" s="367" t="s">
        <v>6</v>
      </c>
      <c r="F3115" s="389" t="s">
        <v>5038</v>
      </c>
      <c r="G3115" s="385">
        <v>45987</v>
      </c>
      <c r="H3115" s="367" t="s">
        <v>7</v>
      </c>
      <c r="I3115" s="368" t="str">
        <f>VLOOKUP(H3115,'Source Codes'!A$2:B$115,2,FALSE)</f>
        <v>HRMS Interface Journals</v>
      </c>
      <c r="J3115" s="412">
        <v>-10414255.98</v>
      </c>
      <c r="K3115" s="385">
        <v>45994</v>
      </c>
      <c r="L3115" s="369" t="s">
        <v>407</v>
      </c>
      <c r="M3115" s="390">
        <v>45994.327569444446</v>
      </c>
      <c r="N3115" s="368" t="s">
        <v>378</v>
      </c>
      <c r="O3115" s="368" t="s">
        <v>379</v>
      </c>
      <c r="P3115" s="368" t="str">
        <f t="shared" si="87"/>
        <v>Expense</v>
      </c>
      <c r="Q3115" s="366" t="s">
        <v>379</v>
      </c>
      <c r="R3115" s="366" t="s">
        <v>4988</v>
      </c>
      <c r="S3115" s="366" t="s">
        <v>203</v>
      </c>
    </row>
    <row r="3116" spans="1:19" ht="15" hidden="1" outlineLevel="1">
      <c r="B3116" s="384">
        <v>2026</v>
      </c>
      <c r="C3116" s="384">
        <v>5</v>
      </c>
      <c r="D3116" s="367" t="s">
        <v>5</v>
      </c>
      <c r="E3116" s="367" t="s">
        <v>6</v>
      </c>
      <c r="F3116" s="389" t="s">
        <v>5039</v>
      </c>
      <c r="G3116" s="385">
        <v>45987</v>
      </c>
      <c r="H3116" s="367" t="s">
        <v>7</v>
      </c>
      <c r="I3116" s="368" t="str">
        <f>VLOOKUP(H3116,'Source Codes'!A$2:B$115,2,FALSE)</f>
        <v>HRMS Interface Journals</v>
      </c>
      <c r="J3116" s="412">
        <v>-75864484.150000006</v>
      </c>
      <c r="K3116" s="385">
        <v>45994</v>
      </c>
      <c r="L3116" s="369" t="s">
        <v>406</v>
      </c>
      <c r="M3116" s="390">
        <v>45994.33053240741</v>
      </c>
      <c r="N3116" s="368" t="s">
        <v>378</v>
      </c>
      <c r="O3116" s="368" t="s">
        <v>371</v>
      </c>
      <c r="P3116" s="368" t="str">
        <f t="shared" si="87"/>
        <v>Expense</v>
      </c>
      <c r="Q3116" s="366" t="s">
        <v>379</v>
      </c>
      <c r="R3116" s="366" t="s">
        <v>4988</v>
      </c>
      <c r="S3116" s="366" t="s">
        <v>203</v>
      </c>
    </row>
    <row r="3117" spans="1:19" ht="15" collapsed="1">
      <c r="J3117" s="413">
        <f>SUM(J3112:J3116)</f>
        <v>-85283033.140000001</v>
      </c>
    </row>
    <row r="3119" spans="1:19" ht="12.75" customHeight="1">
      <c r="A3119" s="378" t="s">
        <v>5042</v>
      </c>
    </row>
    <row r="3120" spans="1:19" ht="30" hidden="1" outlineLevel="1">
      <c r="B3120" s="384">
        <v>2026</v>
      </c>
      <c r="C3120" s="384">
        <v>6</v>
      </c>
      <c r="D3120" s="367" t="s">
        <v>5</v>
      </c>
      <c r="E3120" s="367" t="s">
        <v>6</v>
      </c>
      <c r="F3120" s="389" t="s">
        <v>5043</v>
      </c>
      <c r="G3120" s="385">
        <v>45999</v>
      </c>
      <c r="H3120" s="367" t="s">
        <v>14</v>
      </c>
      <c r="I3120" s="368" t="str">
        <f>VLOOKUP(H3120,'Source Codes'!A$2:B$115,2,FALSE)</f>
        <v>AP Warrant Issuance</v>
      </c>
      <c r="J3120" s="412">
        <v>-2534562.0699999998</v>
      </c>
      <c r="K3120" s="385">
        <v>45995</v>
      </c>
      <c r="L3120" s="369" t="s">
        <v>5045</v>
      </c>
      <c r="M3120" s="390">
        <v>45995.757743055554</v>
      </c>
      <c r="N3120" s="368" t="s">
        <v>356</v>
      </c>
      <c r="O3120" s="368" t="s">
        <v>368</v>
      </c>
      <c r="P3120" s="368" t="str">
        <f t="shared" ref="P3120:P3121" si="88">IF(J3120&gt;0,"Revenue",IF(J3120&lt;0,"Expense"))</f>
        <v>Expense</v>
      </c>
      <c r="Q3120" s="366" t="s">
        <v>2154</v>
      </c>
      <c r="R3120" s="366" t="s">
        <v>2154</v>
      </c>
      <c r="S3120" s="366" t="s">
        <v>203</v>
      </c>
    </row>
    <row r="3121" spans="1:19" ht="30" hidden="1" outlineLevel="1">
      <c r="B3121" s="384">
        <v>2026</v>
      </c>
      <c r="C3121" s="384">
        <v>6</v>
      </c>
      <c r="D3121" s="367" t="s">
        <v>5</v>
      </c>
      <c r="E3121" s="367" t="s">
        <v>6</v>
      </c>
      <c r="F3121" s="389" t="s">
        <v>5044</v>
      </c>
      <c r="G3121" s="385">
        <v>45995</v>
      </c>
      <c r="H3121" s="367" t="s">
        <v>14</v>
      </c>
      <c r="I3121" s="368" t="str">
        <f>VLOOKUP(H3121,'Source Codes'!A$2:B$115,2,FALSE)</f>
        <v>AP Warrant Issuance</v>
      </c>
      <c r="J3121" s="412">
        <v>-1406068.6</v>
      </c>
      <c r="K3121" s="385">
        <v>45995</v>
      </c>
      <c r="L3121" s="369" t="s">
        <v>5046</v>
      </c>
      <c r="M3121" s="390">
        <v>45995.757743055554</v>
      </c>
      <c r="N3121" s="368" t="s">
        <v>356</v>
      </c>
      <c r="O3121" s="368" t="s">
        <v>368</v>
      </c>
      <c r="P3121" s="368" t="str">
        <f t="shared" si="88"/>
        <v>Expense</v>
      </c>
      <c r="Q3121" s="366" t="s">
        <v>2154</v>
      </c>
      <c r="R3121" s="366" t="s">
        <v>2154</v>
      </c>
      <c r="S3121" s="366" t="s">
        <v>203</v>
      </c>
    </row>
    <row r="3122" spans="1:19" ht="15" collapsed="1">
      <c r="J3122" s="413">
        <f>SUM(J3120:J3121)</f>
        <v>-3940630.67</v>
      </c>
    </row>
    <row r="3124" spans="1:19" ht="12.75" customHeight="1">
      <c r="A3124" s="378" t="s">
        <v>5047</v>
      </c>
    </row>
    <row r="3125" spans="1:19" ht="30" hidden="1" outlineLevel="1">
      <c r="B3125" s="384">
        <v>2026</v>
      </c>
      <c r="C3125" s="384">
        <v>6</v>
      </c>
      <c r="D3125" s="367" t="s">
        <v>5</v>
      </c>
      <c r="E3125" s="367" t="s">
        <v>6</v>
      </c>
      <c r="F3125" s="389" t="s">
        <v>5048</v>
      </c>
      <c r="G3125" s="385">
        <v>45996</v>
      </c>
      <c r="H3125" s="367" t="s">
        <v>14</v>
      </c>
      <c r="I3125" s="368" t="str">
        <f>VLOOKUP(H3125,'Source Codes'!A$2:B$115,2,FALSE)</f>
        <v>AP Warrant Issuance</v>
      </c>
      <c r="J3125" s="412">
        <v>-1951597.49</v>
      </c>
      <c r="K3125" s="385">
        <v>45996</v>
      </c>
      <c r="L3125" s="369" t="s">
        <v>5049</v>
      </c>
      <c r="M3125" s="390">
        <v>45996.758391203701</v>
      </c>
      <c r="N3125" s="368" t="s">
        <v>356</v>
      </c>
      <c r="O3125" s="368" t="s">
        <v>357</v>
      </c>
      <c r="P3125" s="368" t="str">
        <f t="shared" ref="P3125" si="89">IF(J3125&gt;0,"Revenue",IF(J3125&lt;0,"Expense"))</f>
        <v>Expense</v>
      </c>
      <c r="Q3125" s="366" t="s">
        <v>2309</v>
      </c>
      <c r="R3125" s="366" t="s">
        <v>2310</v>
      </c>
      <c r="S3125" s="366" t="s">
        <v>203</v>
      </c>
    </row>
    <row r="3126" spans="1:19" ht="12.75" customHeight="1" collapsed="1">
      <c r="J3126" s="413">
        <f>SUM(J3125)</f>
        <v>-1951597.49</v>
      </c>
    </row>
    <row r="3128" spans="1:19" ht="12.75" customHeight="1">
      <c r="A3128" s="378" t="s">
        <v>5050</v>
      </c>
    </row>
    <row r="3129" spans="1:19" ht="30" hidden="1" outlineLevel="1">
      <c r="B3129" s="384">
        <v>2026</v>
      </c>
      <c r="C3129" s="384">
        <v>6</v>
      </c>
      <c r="D3129" s="367" t="s">
        <v>5</v>
      </c>
      <c r="E3129" s="367" t="s">
        <v>6</v>
      </c>
      <c r="F3129" s="389" t="s">
        <v>5051</v>
      </c>
      <c r="G3129" s="385">
        <v>45992</v>
      </c>
      <c r="H3129" s="367" t="s">
        <v>337</v>
      </c>
      <c r="I3129" s="368" t="str">
        <f>VLOOKUP(H3129,'Source Codes'!A$2:B$115,2,FALSE)</f>
        <v>Facilities Mngmnt Intfc Jrnls</v>
      </c>
      <c r="J3129" s="412">
        <v>-1171728.6100000001</v>
      </c>
      <c r="K3129" s="385">
        <v>45999</v>
      </c>
      <c r="L3129" s="369" t="s">
        <v>5060</v>
      </c>
      <c r="M3129" s="390">
        <v>45999.869247685187</v>
      </c>
      <c r="N3129" s="368" t="s">
        <v>359</v>
      </c>
      <c r="O3129" s="368" t="s">
        <v>367</v>
      </c>
      <c r="P3129" s="368" t="str">
        <f t="shared" ref="P3129:P3137" si="90">IF(J3129&gt;0,"Revenue",IF(J3129&lt;0,"Expense"))</f>
        <v>Expense</v>
      </c>
      <c r="Q3129" s="366" t="s">
        <v>2337</v>
      </c>
      <c r="R3129" s="366" t="s">
        <v>5069</v>
      </c>
      <c r="S3129" s="366">
        <v>522365</v>
      </c>
    </row>
    <row r="3130" spans="1:19" ht="15" hidden="1" outlineLevel="1">
      <c r="B3130" s="384">
        <v>2026</v>
      </c>
      <c r="C3130" s="384">
        <v>6</v>
      </c>
      <c r="D3130" s="367" t="s">
        <v>5</v>
      </c>
      <c r="E3130" s="367" t="s">
        <v>6</v>
      </c>
      <c r="F3130" s="389" t="s">
        <v>5052</v>
      </c>
      <c r="G3130" s="385">
        <v>45992</v>
      </c>
      <c r="H3130" s="367" t="s">
        <v>9</v>
      </c>
      <c r="I3130" s="368" t="str">
        <f>VLOOKUP(H3130,'Source Codes'!A$2:B$115,2,FALSE)</f>
        <v>On Line Journal Entries</v>
      </c>
      <c r="J3130" s="412">
        <v>-1712372.49</v>
      </c>
      <c r="K3130" s="385">
        <v>45999</v>
      </c>
      <c r="L3130" s="369" t="s">
        <v>5061</v>
      </c>
      <c r="M3130" s="390">
        <v>45999.869212962964</v>
      </c>
      <c r="N3130" s="368" t="s">
        <v>356</v>
      </c>
      <c r="O3130" s="368" t="s">
        <v>373</v>
      </c>
      <c r="P3130" s="368" t="str">
        <f t="shared" si="90"/>
        <v>Expense</v>
      </c>
      <c r="Q3130" s="366" t="s">
        <v>2476</v>
      </c>
      <c r="R3130" s="366" t="s">
        <v>5071</v>
      </c>
      <c r="S3130" s="366">
        <v>520945</v>
      </c>
    </row>
    <row r="3131" spans="1:19" ht="15" hidden="1" outlineLevel="1">
      <c r="B3131" s="384">
        <v>2026</v>
      </c>
      <c r="C3131" s="384">
        <v>6</v>
      </c>
      <c r="D3131" s="367" t="s">
        <v>5</v>
      </c>
      <c r="E3131" s="367" t="s">
        <v>6</v>
      </c>
      <c r="F3131" s="389" t="s">
        <v>5053</v>
      </c>
      <c r="G3131" s="385">
        <v>45992</v>
      </c>
      <c r="H3131" s="367" t="s">
        <v>337</v>
      </c>
      <c r="I3131" s="368" t="str">
        <f>VLOOKUP(H3131,'Source Codes'!A$2:B$115,2,FALSE)</f>
        <v>Facilities Mngmnt Intfc Jrnls</v>
      </c>
      <c r="J3131" s="412">
        <v>-2647475.6800000002</v>
      </c>
      <c r="K3131" s="385">
        <v>45999</v>
      </c>
      <c r="L3131" s="369" t="s">
        <v>5062</v>
      </c>
      <c r="M3131" s="390">
        <v>45999.869247685187</v>
      </c>
      <c r="N3131" s="368" t="s">
        <v>359</v>
      </c>
      <c r="O3131" s="368" t="s">
        <v>367</v>
      </c>
      <c r="P3131" s="368" t="str">
        <f t="shared" si="90"/>
        <v>Expense</v>
      </c>
      <c r="Q3131" s="366" t="s">
        <v>2337</v>
      </c>
      <c r="R3131" s="366" t="s">
        <v>5070</v>
      </c>
      <c r="S3131" s="366">
        <v>522385</v>
      </c>
    </row>
    <row r="3132" spans="1:19" ht="15" hidden="1" outlineLevel="1">
      <c r="B3132" s="384">
        <v>2026</v>
      </c>
      <c r="C3132" s="384">
        <v>6</v>
      </c>
      <c r="D3132" s="367" t="s">
        <v>5</v>
      </c>
      <c r="E3132" s="367" t="s">
        <v>6</v>
      </c>
      <c r="F3132" s="389" t="s">
        <v>5054</v>
      </c>
      <c r="G3132" s="385">
        <v>45992</v>
      </c>
      <c r="H3132" s="367" t="s">
        <v>9</v>
      </c>
      <c r="I3132" s="368" t="str">
        <f>VLOOKUP(H3132,'Source Codes'!A$2:B$115,2,FALSE)</f>
        <v>On Line Journal Entries</v>
      </c>
      <c r="J3132" s="412">
        <v>-4444115.4000000004</v>
      </c>
      <c r="K3132" s="385">
        <v>45999</v>
      </c>
      <c r="L3132" s="369" t="s">
        <v>5063</v>
      </c>
      <c r="M3132" s="390">
        <v>45999.869212962964</v>
      </c>
      <c r="N3132" s="368" t="s">
        <v>356</v>
      </c>
      <c r="O3132" s="368" t="s">
        <v>373</v>
      </c>
      <c r="P3132" s="368" t="str">
        <f t="shared" si="90"/>
        <v>Expense</v>
      </c>
      <c r="Q3132" s="366" t="s">
        <v>2517</v>
      </c>
      <c r="R3132" s="366" t="s">
        <v>5072</v>
      </c>
      <c r="S3132" s="366">
        <v>517000</v>
      </c>
    </row>
    <row r="3133" spans="1:19" ht="30" hidden="1" outlineLevel="1">
      <c r="B3133" s="384">
        <v>2026</v>
      </c>
      <c r="C3133" s="384">
        <v>6</v>
      </c>
      <c r="D3133" s="367" t="s">
        <v>5</v>
      </c>
      <c r="E3133" s="367" t="s">
        <v>6</v>
      </c>
      <c r="F3133" s="389" t="s">
        <v>5055</v>
      </c>
      <c r="G3133" s="385">
        <v>45992</v>
      </c>
      <c r="H3133" s="367" t="s">
        <v>9</v>
      </c>
      <c r="I3133" s="368" t="str">
        <f>VLOOKUP(H3133,'Source Codes'!A$2:B$115,2,FALSE)</f>
        <v>On Line Journal Entries</v>
      </c>
      <c r="J3133" s="412">
        <v>-5535427.9900000002</v>
      </c>
      <c r="K3133" s="385">
        <v>45999</v>
      </c>
      <c r="L3133" s="369" t="s">
        <v>5064</v>
      </c>
      <c r="M3133" s="390">
        <v>45999.869212962964</v>
      </c>
      <c r="N3133" s="368" t="s">
        <v>356</v>
      </c>
      <c r="O3133" s="368" t="s">
        <v>374</v>
      </c>
      <c r="P3133" s="368" t="str">
        <f t="shared" si="90"/>
        <v>Expense</v>
      </c>
      <c r="Q3133" s="366" t="s">
        <v>2202</v>
      </c>
      <c r="R3133" s="366" t="s">
        <v>5074</v>
      </c>
      <c r="S3133" s="366">
        <v>525840</v>
      </c>
    </row>
    <row r="3134" spans="1:19" ht="30" hidden="1" outlineLevel="1">
      <c r="B3134" s="384">
        <v>2026</v>
      </c>
      <c r="C3134" s="384">
        <v>6</v>
      </c>
      <c r="D3134" s="367" t="s">
        <v>5</v>
      </c>
      <c r="E3134" s="367" t="s">
        <v>6</v>
      </c>
      <c r="F3134" s="389" t="s">
        <v>5056</v>
      </c>
      <c r="G3134" s="385">
        <v>45992</v>
      </c>
      <c r="H3134" s="367" t="s">
        <v>9</v>
      </c>
      <c r="I3134" s="368" t="str">
        <f>VLOOKUP(H3134,'Source Codes'!A$2:B$115,2,FALSE)</f>
        <v>On Line Journal Entries</v>
      </c>
      <c r="J3134" s="412">
        <v>-7576523.54</v>
      </c>
      <c r="K3134" s="385">
        <v>45999</v>
      </c>
      <c r="L3134" s="369" t="s">
        <v>5065</v>
      </c>
      <c r="M3134" s="390">
        <v>45999.869212962964</v>
      </c>
      <c r="N3134" s="368" t="s">
        <v>356</v>
      </c>
      <c r="O3134" s="368" t="s">
        <v>373</v>
      </c>
      <c r="P3134" s="368" t="str">
        <f t="shared" si="90"/>
        <v>Expense</v>
      </c>
      <c r="Q3134" s="366" t="s">
        <v>2569</v>
      </c>
      <c r="R3134" s="366" t="s">
        <v>5075</v>
      </c>
      <c r="S3134" s="366">
        <v>520930</v>
      </c>
    </row>
    <row r="3135" spans="1:19" ht="15" hidden="1" outlineLevel="1">
      <c r="B3135" s="384">
        <v>2026</v>
      </c>
      <c r="C3135" s="384">
        <v>6</v>
      </c>
      <c r="D3135" s="367" t="s">
        <v>5</v>
      </c>
      <c r="E3135" s="367" t="s">
        <v>6</v>
      </c>
      <c r="F3135" s="389" t="s">
        <v>5057</v>
      </c>
      <c r="G3135" s="385">
        <v>45992</v>
      </c>
      <c r="H3135" s="367" t="s">
        <v>13</v>
      </c>
      <c r="I3135" s="368" t="str">
        <f>VLOOKUP(H3135,'Source Codes'!A$2:B$115,2,FALSE)</f>
        <v>C-IV Voucher/Payments/EBT</v>
      </c>
      <c r="J3135" s="412">
        <v>-10141194.73</v>
      </c>
      <c r="K3135" s="385">
        <v>45999</v>
      </c>
      <c r="L3135" s="369" t="s">
        <v>5066</v>
      </c>
      <c r="M3135" s="390">
        <v>45999.86922453704</v>
      </c>
      <c r="N3135" s="366" t="s">
        <v>356</v>
      </c>
      <c r="O3135" s="367" t="s">
        <v>364</v>
      </c>
      <c r="P3135" s="368" t="str">
        <f t="shared" si="90"/>
        <v>Expense</v>
      </c>
      <c r="Q3135" s="366" t="s">
        <v>2204</v>
      </c>
      <c r="R3135" s="365">
        <v>45992</v>
      </c>
      <c r="S3135" s="366">
        <v>530480</v>
      </c>
    </row>
    <row r="3136" spans="1:19" ht="15" hidden="1" outlineLevel="1">
      <c r="B3136" s="384">
        <v>2026</v>
      </c>
      <c r="C3136" s="384">
        <v>6</v>
      </c>
      <c r="D3136" s="367" t="s">
        <v>5</v>
      </c>
      <c r="E3136" s="367" t="s">
        <v>6</v>
      </c>
      <c r="F3136" s="389" t="s">
        <v>5058</v>
      </c>
      <c r="G3136" s="385">
        <v>45992</v>
      </c>
      <c r="H3136" s="367" t="s">
        <v>13</v>
      </c>
      <c r="I3136" s="368" t="str">
        <f>VLOOKUP(H3136,'Source Codes'!A$2:B$115,2,FALSE)</f>
        <v>C-IV Voucher/Payments/EBT</v>
      </c>
      <c r="J3136" s="412">
        <v>-12144954.07</v>
      </c>
      <c r="K3136" s="385">
        <v>45999</v>
      </c>
      <c r="L3136" s="369" t="s">
        <v>5067</v>
      </c>
      <c r="M3136" s="390">
        <v>45999.86922453704</v>
      </c>
      <c r="N3136" s="366" t="s">
        <v>356</v>
      </c>
      <c r="O3136" s="367" t="s">
        <v>364</v>
      </c>
      <c r="P3136" s="368" t="str">
        <f t="shared" si="90"/>
        <v>Expense</v>
      </c>
      <c r="Q3136" s="366" t="s">
        <v>2204</v>
      </c>
      <c r="R3136" s="365">
        <v>45985</v>
      </c>
      <c r="S3136" s="366">
        <v>530480</v>
      </c>
    </row>
    <row r="3137" spans="1:19" ht="15" hidden="1" outlineLevel="1">
      <c r="B3137" s="384">
        <v>2026</v>
      </c>
      <c r="C3137" s="384">
        <v>6</v>
      </c>
      <c r="D3137" s="367" t="s">
        <v>5</v>
      </c>
      <c r="E3137" s="367" t="s">
        <v>6</v>
      </c>
      <c r="F3137" s="389" t="s">
        <v>5059</v>
      </c>
      <c r="G3137" s="385">
        <v>45992</v>
      </c>
      <c r="H3137" s="367" t="s">
        <v>13</v>
      </c>
      <c r="I3137" s="368" t="str">
        <f>VLOOKUP(H3137,'Source Codes'!A$2:B$115,2,FALSE)</f>
        <v>C-IV Voucher/Payments/EBT</v>
      </c>
      <c r="J3137" s="412">
        <v>-15909168.25</v>
      </c>
      <c r="K3137" s="385">
        <v>45999</v>
      </c>
      <c r="L3137" s="369" t="s">
        <v>5068</v>
      </c>
      <c r="M3137" s="390">
        <v>45999.86922453704</v>
      </c>
      <c r="N3137" s="366" t="s">
        <v>356</v>
      </c>
      <c r="O3137" s="367" t="s">
        <v>364</v>
      </c>
      <c r="P3137" s="368" t="str">
        <f t="shared" si="90"/>
        <v>Expense</v>
      </c>
      <c r="Q3137" s="366" t="s">
        <v>2204</v>
      </c>
      <c r="R3137" s="365">
        <v>45986</v>
      </c>
      <c r="S3137" s="366">
        <v>530480</v>
      </c>
    </row>
    <row r="3138" spans="1:19" ht="15" collapsed="1">
      <c r="J3138" s="413">
        <f>SUM(J3129:J3137)</f>
        <v>-61282960.760000005</v>
      </c>
    </row>
    <row r="3140" spans="1:19" ht="12.75" customHeight="1">
      <c r="A3140" s="378" t="s">
        <v>5076</v>
      </c>
    </row>
    <row r="3141" spans="1:19" ht="60" hidden="1" outlineLevel="1">
      <c r="B3141" s="384">
        <v>2026</v>
      </c>
      <c r="C3141" s="384">
        <v>6</v>
      </c>
      <c r="D3141" s="367" t="s">
        <v>5</v>
      </c>
      <c r="E3141" s="367" t="s">
        <v>6</v>
      </c>
      <c r="F3141" s="389" t="s">
        <v>5077</v>
      </c>
      <c r="G3141" s="385">
        <v>46000</v>
      </c>
      <c r="H3141" s="367" t="s">
        <v>14</v>
      </c>
      <c r="I3141" s="368" t="str">
        <f>VLOOKUP(H3141,'Source Codes'!A$2:B$115,2,FALSE)</f>
        <v>AP Warrant Issuance</v>
      </c>
      <c r="J3141" s="412">
        <v>-7022529.3399999999</v>
      </c>
      <c r="K3141" s="385">
        <v>46000</v>
      </c>
      <c r="L3141" s="369" t="s">
        <v>5081</v>
      </c>
      <c r="M3141" s="390">
        <v>46000.758032407408</v>
      </c>
      <c r="N3141" s="366" t="s">
        <v>361</v>
      </c>
      <c r="O3141" s="367" t="s">
        <v>358</v>
      </c>
      <c r="P3141" s="368" t="str">
        <f t="shared" ref="P3141:P3142" si="91">IF(J3141&gt;0,"Revenue",IF(J3141&lt;0,"Expense"))</f>
        <v>Expense</v>
      </c>
      <c r="Q3141" s="366" t="s">
        <v>2325</v>
      </c>
      <c r="R3141" s="365" t="s">
        <v>5079</v>
      </c>
      <c r="S3141" s="366">
        <v>536200</v>
      </c>
    </row>
    <row r="3142" spans="1:19" ht="60" hidden="1" outlineLevel="1">
      <c r="B3142" s="384">
        <v>2026</v>
      </c>
      <c r="C3142" s="384">
        <v>6</v>
      </c>
      <c r="D3142" s="367" t="s">
        <v>5</v>
      </c>
      <c r="E3142" s="367" t="s">
        <v>6</v>
      </c>
      <c r="F3142" s="389" t="s">
        <v>5078</v>
      </c>
      <c r="G3142" s="385">
        <v>45999</v>
      </c>
      <c r="H3142" s="367" t="s">
        <v>11</v>
      </c>
      <c r="I3142" s="368" t="str">
        <f>VLOOKUP(H3142,'Source Codes'!A$2:B$115,2,FALSE)</f>
        <v>AR Payments</v>
      </c>
      <c r="J3142" s="412">
        <v>4665377.6500000004</v>
      </c>
      <c r="K3142" s="385">
        <v>46000</v>
      </c>
      <c r="L3142" s="369" t="s">
        <v>5082</v>
      </c>
      <c r="M3142" s="390">
        <v>46000.752083333333</v>
      </c>
      <c r="N3142" s="366" t="s">
        <v>359</v>
      </c>
      <c r="O3142" s="367" t="s">
        <v>357</v>
      </c>
      <c r="P3142" s="368" t="str">
        <f t="shared" si="91"/>
        <v>Revenue</v>
      </c>
      <c r="Q3142" s="366" t="s">
        <v>2157</v>
      </c>
      <c r="R3142" s="365" t="s">
        <v>2157</v>
      </c>
      <c r="S3142" s="366" t="s">
        <v>2531</v>
      </c>
    </row>
    <row r="3143" spans="1:19" ht="12.75" customHeight="1" collapsed="1">
      <c r="J3143" s="413">
        <f>SUM(J3141:J3142)</f>
        <v>-2357151.6899999995</v>
      </c>
    </row>
    <row r="3145" spans="1:19" ht="12.75" customHeight="1">
      <c r="A3145" s="378" t="s">
        <v>5083</v>
      </c>
    </row>
    <row r="3146" spans="1:19" ht="30" hidden="1" outlineLevel="1">
      <c r="B3146" s="384">
        <v>2026</v>
      </c>
      <c r="C3146" s="384">
        <v>6</v>
      </c>
      <c r="D3146" s="367" t="s">
        <v>5</v>
      </c>
      <c r="E3146" s="367" t="s">
        <v>6</v>
      </c>
      <c r="F3146" s="389" t="s">
        <v>5084</v>
      </c>
      <c r="G3146" s="385">
        <v>46000</v>
      </c>
      <c r="H3146" s="367" t="s">
        <v>16</v>
      </c>
      <c r="I3146" s="368" t="str">
        <f>VLOOKUP(H3146,'Source Codes'!A$2:B$115,2,FALSE)</f>
        <v>Property Tax Interface</v>
      </c>
      <c r="J3146" s="412">
        <v>8016840.5599999996</v>
      </c>
      <c r="K3146" s="385">
        <v>46001</v>
      </c>
      <c r="L3146" s="369" t="s">
        <v>5086</v>
      </c>
      <c r="M3146" s="390">
        <v>46001.457858796297</v>
      </c>
      <c r="N3146" s="366" t="s">
        <v>507</v>
      </c>
      <c r="O3146" s="367" t="s">
        <v>384</v>
      </c>
      <c r="P3146" s="368" t="str">
        <f t="shared" ref="P3146:P3162" si="92">IF(J3146&gt;0,"Revenue",IF(J3146&lt;0,"Expense"))</f>
        <v>Revenue</v>
      </c>
      <c r="Q3146" s="366" t="s">
        <v>2266</v>
      </c>
      <c r="R3146" s="365" t="s">
        <v>5088</v>
      </c>
      <c r="S3146" s="366">
        <v>770030</v>
      </c>
    </row>
    <row r="3147" spans="1:19" ht="60" hidden="1" outlineLevel="1">
      <c r="B3147" s="384">
        <v>2026</v>
      </c>
      <c r="C3147" s="384">
        <v>6</v>
      </c>
      <c r="D3147" s="367" t="s">
        <v>5</v>
      </c>
      <c r="E3147" s="367" t="s">
        <v>6</v>
      </c>
      <c r="F3147" s="389" t="s">
        <v>5085</v>
      </c>
      <c r="G3147" s="385">
        <v>46000</v>
      </c>
      <c r="H3147" s="367" t="s">
        <v>9</v>
      </c>
      <c r="I3147" s="368" t="str">
        <f>VLOOKUP(H3147,'Source Codes'!A$2:B$115,2,FALSE)</f>
        <v>On Line Journal Entries</v>
      </c>
      <c r="J3147" s="412">
        <v>-2699852.38</v>
      </c>
      <c r="K3147" s="385">
        <v>46001</v>
      </c>
      <c r="L3147" s="369" t="s">
        <v>5087</v>
      </c>
      <c r="M3147" s="390">
        <v>46001.869710648149</v>
      </c>
      <c r="N3147" s="366" t="s">
        <v>356</v>
      </c>
      <c r="O3147" s="367" t="s">
        <v>371</v>
      </c>
      <c r="P3147" s="368" t="str">
        <f t="shared" si="92"/>
        <v>Expense</v>
      </c>
      <c r="Q3147" s="366" t="s">
        <v>2429</v>
      </c>
      <c r="R3147" s="365" t="s">
        <v>5089</v>
      </c>
      <c r="S3147" s="366" t="s">
        <v>2166</v>
      </c>
    </row>
    <row r="3148" spans="1:19" ht="15" collapsed="1">
      <c r="I3148" s="368"/>
      <c r="J3148" s="413">
        <f>SUM(J3146:J3147)</f>
        <v>5316988.18</v>
      </c>
      <c r="P3148" s="368"/>
    </row>
    <row r="3149" spans="1:19" ht="12.75" customHeight="1">
      <c r="I3149" s="368"/>
      <c r="P3149" s="368"/>
    </row>
    <row r="3150" spans="1:19" ht="12.75" customHeight="1">
      <c r="A3150" s="378" t="s">
        <v>5090</v>
      </c>
      <c r="I3150" s="368"/>
      <c r="P3150" s="368"/>
    </row>
    <row r="3151" spans="1:19" ht="30" hidden="1" outlineLevel="1">
      <c r="B3151" s="384">
        <v>2026</v>
      </c>
      <c r="C3151" s="384">
        <v>6</v>
      </c>
      <c r="D3151" s="367" t="s">
        <v>5</v>
      </c>
      <c r="E3151" s="367" t="s">
        <v>6</v>
      </c>
      <c r="F3151" s="389" t="s">
        <v>5091</v>
      </c>
      <c r="G3151" s="385">
        <v>46006</v>
      </c>
      <c r="H3151" s="367" t="s">
        <v>14</v>
      </c>
      <c r="I3151" s="368" t="str">
        <f>VLOOKUP(H3151,'Source Codes'!A$2:B$115,2,FALSE)</f>
        <v>AP Warrant Issuance</v>
      </c>
      <c r="J3151" s="412">
        <v>-1766477.47</v>
      </c>
      <c r="K3151" s="385">
        <v>46002</v>
      </c>
      <c r="L3151" s="369" t="s">
        <v>5093</v>
      </c>
      <c r="M3151" s="390">
        <v>46002.757569444446</v>
      </c>
      <c r="N3151" s="366" t="s">
        <v>356</v>
      </c>
      <c r="O3151" s="367" t="s">
        <v>368</v>
      </c>
      <c r="P3151" s="368" t="str">
        <f t="shared" si="92"/>
        <v>Expense</v>
      </c>
      <c r="Q3151" s="366" t="s">
        <v>2154</v>
      </c>
      <c r="R3151" s="366" t="s">
        <v>2154</v>
      </c>
      <c r="S3151" s="366" t="s">
        <v>5094</v>
      </c>
    </row>
    <row r="3152" spans="1:19" ht="60" hidden="1" outlineLevel="1">
      <c r="B3152" s="384">
        <v>2026</v>
      </c>
      <c r="C3152" s="384">
        <v>6</v>
      </c>
      <c r="D3152" s="367" t="s">
        <v>5</v>
      </c>
      <c r="E3152" s="367" t="s">
        <v>6</v>
      </c>
      <c r="F3152" s="389" t="s">
        <v>5092</v>
      </c>
      <c r="G3152" s="385">
        <v>46002</v>
      </c>
      <c r="H3152" s="367" t="s">
        <v>14</v>
      </c>
      <c r="I3152" s="368" t="str">
        <f>VLOOKUP(H3152,'Source Codes'!A$2:B$115,2,FALSE)</f>
        <v>AP Warrant Issuance</v>
      </c>
      <c r="J3152" s="412">
        <v>-1703116.6</v>
      </c>
      <c r="K3152" s="385">
        <v>46002</v>
      </c>
      <c r="L3152" s="369" t="s">
        <v>5095</v>
      </c>
      <c r="M3152" s="390">
        <v>46002.757569444446</v>
      </c>
      <c r="N3152" s="366" t="s">
        <v>356</v>
      </c>
      <c r="O3152" s="367" t="s">
        <v>357</v>
      </c>
      <c r="P3152" s="368" t="str">
        <f t="shared" si="92"/>
        <v>Expense</v>
      </c>
      <c r="Q3152" s="366" t="s">
        <v>2309</v>
      </c>
      <c r="R3152" s="366" t="s">
        <v>2310</v>
      </c>
      <c r="S3152" s="366" t="s">
        <v>203</v>
      </c>
    </row>
    <row r="3153" spans="1:19" ht="12.75" customHeight="1" collapsed="1">
      <c r="I3153" s="368"/>
      <c r="J3153" s="413">
        <f>SUM(J3151:J3152)</f>
        <v>-3469594.0700000003</v>
      </c>
      <c r="P3153" s="368"/>
    </row>
    <row r="3154" spans="1:19" ht="12.75" customHeight="1">
      <c r="I3154" s="368"/>
      <c r="P3154" s="368"/>
    </row>
    <row r="3155" spans="1:19" ht="12.75" customHeight="1">
      <c r="A3155" s="378" t="s">
        <v>5096</v>
      </c>
      <c r="I3155" s="368"/>
      <c r="P3155" s="368"/>
    </row>
    <row r="3156" spans="1:19" ht="30" hidden="1" outlineLevel="1">
      <c r="B3156" s="384">
        <v>2026</v>
      </c>
      <c r="C3156" s="384">
        <v>6</v>
      </c>
      <c r="D3156" s="367" t="s">
        <v>5</v>
      </c>
      <c r="E3156" s="367" t="s">
        <v>6</v>
      </c>
      <c r="F3156" s="389" t="s">
        <v>5097</v>
      </c>
      <c r="G3156" s="385">
        <v>46003</v>
      </c>
      <c r="H3156" s="367" t="s">
        <v>11</v>
      </c>
      <c r="I3156" s="368" t="str">
        <f>VLOOKUP(H3156,'Source Codes'!A$2:B$115,2,FALSE)</f>
        <v>AR Payments</v>
      </c>
      <c r="J3156" s="412">
        <v>1065510.27</v>
      </c>
      <c r="K3156" s="385">
        <v>46006</v>
      </c>
      <c r="L3156" s="369" t="s">
        <v>5107</v>
      </c>
      <c r="M3156" s="390">
        <v>46006.751909722225</v>
      </c>
      <c r="N3156" s="366" t="s">
        <v>356</v>
      </c>
      <c r="O3156" s="367" t="s">
        <v>362</v>
      </c>
      <c r="P3156" s="368" t="str">
        <f t="shared" si="92"/>
        <v>Revenue</v>
      </c>
      <c r="Q3156" s="366" t="s">
        <v>2360</v>
      </c>
      <c r="R3156" s="365" t="s">
        <v>2715</v>
      </c>
      <c r="S3156" s="366">
        <v>118401</v>
      </c>
    </row>
    <row r="3157" spans="1:19" ht="30" hidden="1" outlineLevel="1">
      <c r="B3157" s="384">
        <v>2026</v>
      </c>
      <c r="C3157" s="384">
        <v>6</v>
      </c>
      <c r="D3157" s="367" t="s">
        <v>5</v>
      </c>
      <c r="E3157" s="367" t="s">
        <v>6</v>
      </c>
      <c r="F3157" s="389" t="s">
        <v>5098</v>
      </c>
      <c r="G3157" s="385">
        <v>46002</v>
      </c>
      <c r="H3157" s="367" t="s">
        <v>16</v>
      </c>
      <c r="I3157" s="368" t="str">
        <f>VLOOKUP(H3157,'Source Codes'!A$2:B$115,2,FALSE)</f>
        <v>Property Tax Interface</v>
      </c>
      <c r="J3157" s="412">
        <v>109244270.62</v>
      </c>
      <c r="K3157" s="385">
        <v>46006</v>
      </c>
      <c r="L3157" s="369" t="s">
        <v>5101</v>
      </c>
      <c r="M3157" s="390">
        <v>46006.541030092594</v>
      </c>
      <c r="N3157" s="366" t="s">
        <v>361</v>
      </c>
      <c r="O3157" s="367" t="s">
        <v>384</v>
      </c>
      <c r="P3157" s="368" t="str">
        <f t="shared" si="92"/>
        <v>Revenue</v>
      </c>
      <c r="Q3157" s="366" t="s">
        <v>2199</v>
      </c>
      <c r="R3157" s="365" t="s">
        <v>5102</v>
      </c>
      <c r="S3157" s="366" t="s">
        <v>2200</v>
      </c>
    </row>
    <row r="3158" spans="1:19" ht="30" hidden="1" outlineLevel="1">
      <c r="B3158" s="384">
        <v>2026</v>
      </c>
      <c r="C3158" s="384">
        <v>6</v>
      </c>
      <c r="D3158" s="367" t="s">
        <v>5</v>
      </c>
      <c r="E3158" s="367" t="s">
        <v>6</v>
      </c>
      <c r="F3158" s="389" t="s">
        <v>5099</v>
      </c>
      <c r="G3158" s="385">
        <v>45993</v>
      </c>
      <c r="H3158" s="367" t="s">
        <v>9</v>
      </c>
      <c r="I3158" s="368" t="str">
        <f>VLOOKUP(H3158,'Source Codes'!A$2:B$115,2,FALSE)</f>
        <v>On Line Journal Entries</v>
      </c>
      <c r="J3158" s="412">
        <v>8850867</v>
      </c>
      <c r="K3158" s="385">
        <v>46006</v>
      </c>
      <c r="L3158" s="369" t="s">
        <v>344</v>
      </c>
      <c r="M3158" s="390">
        <v>46006.869756944441</v>
      </c>
      <c r="N3158" s="366" t="s">
        <v>356</v>
      </c>
      <c r="O3158" s="367" t="s">
        <v>364</v>
      </c>
      <c r="P3158" s="368" t="str">
        <f t="shared" si="92"/>
        <v>Revenue</v>
      </c>
      <c r="Q3158" s="366" t="s">
        <v>2232</v>
      </c>
      <c r="R3158" s="365" t="s">
        <v>2232</v>
      </c>
      <c r="S3158" s="366" t="s">
        <v>2533</v>
      </c>
    </row>
    <row r="3159" spans="1:19" ht="30" hidden="1" outlineLevel="1">
      <c r="B3159" s="384">
        <v>2026</v>
      </c>
      <c r="C3159" s="384">
        <v>6</v>
      </c>
      <c r="D3159" s="367" t="s">
        <v>5</v>
      </c>
      <c r="E3159" s="367" t="s">
        <v>6</v>
      </c>
      <c r="F3159" s="389" t="s">
        <v>5100</v>
      </c>
      <c r="G3159" s="385">
        <v>45993</v>
      </c>
      <c r="H3159" s="367" t="s">
        <v>9</v>
      </c>
      <c r="I3159" s="368" t="str">
        <f>VLOOKUP(H3159,'Source Codes'!A$2:B$115,2,FALSE)</f>
        <v>On Line Journal Entries</v>
      </c>
      <c r="J3159" s="412">
        <v>2208197</v>
      </c>
      <c r="K3159" s="385">
        <v>46006</v>
      </c>
      <c r="L3159" s="369" t="s">
        <v>344</v>
      </c>
      <c r="M3159" s="390">
        <v>46006.869756944441</v>
      </c>
      <c r="N3159" s="366" t="s">
        <v>356</v>
      </c>
      <c r="O3159" s="367" t="s">
        <v>364</v>
      </c>
      <c r="P3159" s="368" t="str">
        <f t="shared" si="92"/>
        <v>Revenue</v>
      </c>
      <c r="Q3159" s="366" t="s">
        <v>2232</v>
      </c>
      <c r="R3159" s="365" t="s">
        <v>2232</v>
      </c>
      <c r="S3159" s="366" t="s">
        <v>2533</v>
      </c>
    </row>
    <row r="3160" spans="1:19" ht="15" hidden="1" outlineLevel="1">
      <c r="B3160" s="384">
        <v>2026</v>
      </c>
      <c r="C3160" s="384">
        <v>6</v>
      </c>
      <c r="D3160" s="367" t="s">
        <v>5</v>
      </c>
      <c r="E3160" s="367" t="s">
        <v>6</v>
      </c>
      <c r="F3160" s="389" t="s">
        <v>5103</v>
      </c>
      <c r="G3160" s="385">
        <v>46001</v>
      </c>
      <c r="H3160" s="367" t="s">
        <v>7</v>
      </c>
      <c r="I3160" s="368" t="str">
        <f>VLOOKUP(H3160,'Source Codes'!A$2:B$115,2,FALSE)</f>
        <v>HRMS Interface Journals</v>
      </c>
      <c r="J3160" s="412">
        <v>-2436997.0499999998</v>
      </c>
      <c r="K3160" s="385">
        <v>46006</v>
      </c>
      <c r="L3160" s="369" t="s">
        <v>409</v>
      </c>
      <c r="M3160" s="390">
        <v>46006.343032407407</v>
      </c>
      <c r="N3160" s="366" t="s">
        <v>378</v>
      </c>
      <c r="O3160" s="367" t="s">
        <v>379</v>
      </c>
      <c r="P3160" s="368" t="str">
        <f t="shared" si="92"/>
        <v>Expense</v>
      </c>
      <c r="Q3160" s="366" t="s">
        <v>379</v>
      </c>
      <c r="R3160" s="365" t="s">
        <v>5106</v>
      </c>
      <c r="S3160" s="366">
        <v>513120</v>
      </c>
    </row>
    <row r="3161" spans="1:19" ht="15" hidden="1" outlineLevel="1">
      <c r="B3161" s="384">
        <v>2026</v>
      </c>
      <c r="C3161" s="384">
        <v>6</v>
      </c>
      <c r="D3161" s="367" t="s">
        <v>5</v>
      </c>
      <c r="E3161" s="367" t="s">
        <v>6</v>
      </c>
      <c r="F3161" s="389" t="s">
        <v>5104</v>
      </c>
      <c r="G3161" s="385">
        <v>46001</v>
      </c>
      <c r="H3161" s="367" t="s">
        <v>7</v>
      </c>
      <c r="I3161" s="368" t="str">
        <f>VLOOKUP(H3161,'Source Codes'!A$2:B$115,2,FALSE)</f>
        <v>HRMS Interface Journals</v>
      </c>
      <c r="J3161" s="412">
        <v>-10141294.609999999</v>
      </c>
      <c r="K3161" s="385">
        <v>46006</v>
      </c>
      <c r="L3161" s="369" t="s">
        <v>407</v>
      </c>
      <c r="M3161" s="390">
        <v>46006.333807870367</v>
      </c>
      <c r="N3161" s="366" t="s">
        <v>378</v>
      </c>
      <c r="O3161" s="367" t="s">
        <v>379</v>
      </c>
      <c r="P3161" s="368" t="str">
        <f t="shared" si="92"/>
        <v>Expense</v>
      </c>
      <c r="Q3161" s="366" t="s">
        <v>379</v>
      </c>
      <c r="R3161" s="365" t="s">
        <v>5106</v>
      </c>
      <c r="S3161" s="366" t="s">
        <v>203</v>
      </c>
    </row>
    <row r="3162" spans="1:19" ht="15" hidden="1" outlineLevel="1">
      <c r="B3162" s="384">
        <v>2026</v>
      </c>
      <c r="C3162" s="384">
        <v>6</v>
      </c>
      <c r="D3162" s="367" t="s">
        <v>5</v>
      </c>
      <c r="E3162" s="367" t="s">
        <v>6</v>
      </c>
      <c r="F3162" s="389" t="s">
        <v>5105</v>
      </c>
      <c r="G3162" s="385">
        <v>46001</v>
      </c>
      <c r="H3162" s="367" t="s">
        <v>7</v>
      </c>
      <c r="I3162" s="368" t="str">
        <f>VLOOKUP(H3162,'Source Codes'!A$2:B$115,2,FALSE)</f>
        <v>HRMS Interface Journals</v>
      </c>
      <c r="J3162" s="412">
        <v>-76918554.310000002</v>
      </c>
      <c r="K3162" s="385">
        <v>46006</v>
      </c>
      <c r="L3162" s="369" t="s">
        <v>406</v>
      </c>
      <c r="M3162" s="390">
        <v>46006.339409722219</v>
      </c>
      <c r="N3162" s="366" t="s">
        <v>378</v>
      </c>
      <c r="O3162" s="367" t="s">
        <v>371</v>
      </c>
      <c r="P3162" s="368" t="str">
        <f t="shared" si="92"/>
        <v>Expense</v>
      </c>
      <c r="Q3162" s="366" t="s">
        <v>379</v>
      </c>
      <c r="R3162" s="365" t="s">
        <v>5106</v>
      </c>
      <c r="S3162" s="366" t="s">
        <v>203</v>
      </c>
    </row>
    <row r="3163" spans="1:19" ht="12.75" customHeight="1" collapsed="1">
      <c r="J3163" s="413">
        <f>SUM(J3156:J3162)</f>
        <v>31871998.920000002</v>
      </c>
    </row>
    <row r="3165" spans="1:19" ht="12.75" customHeight="1">
      <c r="A3165" s="378" t="s">
        <v>5115</v>
      </c>
    </row>
    <row r="3166" spans="1:19" ht="45" hidden="1" outlineLevel="1">
      <c r="B3166" s="384">
        <v>2026</v>
      </c>
      <c r="C3166" s="384">
        <v>6</v>
      </c>
      <c r="D3166" s="367" t="s">
        <v>5</v>
      </c>
      <c r="E3166" s="367" t="s">
        <v>6</v>
      </c>
      <c r="F3166" s="389" t="s">
        <v>5108</v>
      </c>
      <c r="G3166" s="385">
        <v>46009</v>
      </c>
      <c r="H3166" s="367" t="s">
        <v>14</v>
      </c>
      <c r="I3166" s="368" t="str">
        <f>VLOOKUP(H3166,'Source Codes'!A$2:B$115,2,FALSE)</f>
        <v>AP Warrant Issuance</v>
      </c>
      <c r="J3166" s="412">
        <v>-8013085.4400000004</v>
      </c>
      <c r="K3166" s="385">
        <v>46007</v>
      </c>
      <c r="L3166" s="369" t="s">
        <v>5116</v>
      </c>
      <c r="M3166" s="390">
        <v>46007.759155092594</v>
      </c>
      <c r="N3166" s="366" t="s">
        <v>356</v>
      </c>
      <c r="O3166" s="367" t="s">
        <v>357</v>
      </c>
      <c r="P3166" s="368" t="str">
        <f t="shared" ref="P3166:P3169" si="93">IF(J3166&gt;0,"Revenue",IF(J3166&lt;0,"Expense"))</f>
        <v>Expense</v>
      </c>
      <c r="Q3166" s="366" t="s">
        <v>2309</v>
      </c>
      <c r="R3166" s="365" t="s">
        <v>2310</v>
      </c>
      <c r="S3166" s="366">
        <v>546040</v>
      </c>
    </row>
    <row r="3167" spans="1:19" ht="30" hidden="1" outlineLevel="1">
      <c r="B3167" s="384">
        <v>2026</v>
      </c>
      <c r="C3167" s="384">
        <v>6</v>
      </c>
      <c r="D3167" s="367" t="s">
        <v>5</v>
      </c>
      <c r="E3167" s="367" t="s">
        <v>6</v>
      </c>
      <c r="F3167" s="389" t="s">
        <v>5109</v>
      </c>
      <c r="G3167" s="385">
        <v>46002</v>
      </c>
      <c r="H3167" s="367" t="s">
        <v>12</v>
      </c>
      <c r="I3167" s="368" t="str">
        <f>VLOOKUP(H3167,'Source Codes'!A$2:B$115,2,FALSE)</f>
        <v>AR Direct Cash Journal</v>
      </c>
      <c r="J3167" s="412">
        <v>-1143381.26</v>
      </c>
      <c r="K3167" s="385">
        <v>46007</v>
      </c>
      <c r="L3167" s="369" t="s">
        <v>5117</v>
      </c>
      <c r="M3167" s="390">
        <v>46007.751909722225</v>
      </c>
      <c r="N3167" s="366" t="s">
        <v>359</v>
      </c>
      <c r="O3167" s="367" t="s">
        <v>357</v>
      </c>
      <c r="P3167" s="368" t="str">
        <f t="shared" si="93"/>
        <v>Expense</v>
      </c>
      <c r="Q3167" s="366" t="s">
        <v>2157</v>
      </c>
      <c r="R3167" s="365" t="s">
        <v>2157</v>
      </c>
      <c r="S3167" s="366" t="s">
        <v>5112</v>
      </c>
    </row>
    <row r="3168" spans="1:19" ht="60" hidden="1" outlineLevel="1">
      <c r="B3168" s="384">
        <v>2026</v>
      </c>
      <c r="C3168" s="384">
        <v>6</v>
      </c>
      <c r="D3168" s="367" t="s">
        <v>5</v>
      </c>
      <c r="E3168" s="367" t="s">
        <v>6</v>
      </c>
      <c r="F3168" s="389" t="s">
        <v>5110</v>
      </c>
      <c r="G3168" s="385">
        <v>45996</v>
      </c>
      <c r="H3168" s="367" t="s">
        <v>12</v>
      </c>
      <c r="I3168" s="368" t="str">
        <f>VLOOKUP(H3168,'Source Codes'!A$2:B$115,2,FALSE)</f>
        <v>AR Direct Cash Journal</v>
      </c>
      <c r="J3168" s="412">
        <v>9409869.8900000006</v>
      </c>
      <c r="K3168" s="385">
        <v>46007</v>
      </c>
      <c r="L3168" s="369" t="s">
        <v>5118</v>
      </c>
      <c r="M3168" s="390">
        <v>46007.751909722225</v>
      </c>
      <c r="N3168" s="366" t="s">
        <v>359</v>
      </c>
      <c r="O3168" s="367" t="s">
        <v>368</v>
      </c>
      <c r="P3168" s="368" t="str">
        <f t="shared" si="93"/>
        <v>Revenue</v>
      </c>
      <c r="Q3168" s="366" t="s">
        <v>2177</v>
      </c>
      <c r="R3168" s="365" t="s">
        <v>2214</v>
      </c>
      <c r="S3168" s="366" t="s">
        <v>5113</v>
      </c>
    </row>
    <row r="3169" spans="1:19" ht="34.35" hidden="1" customHeight="1" outlineLevel="1">
      <c r="B3169" s="384">
        <v>2026</v>
      </c>
      <c r="C3169" s="384">
        <v>6</v>
      </c>
      <c r="D3169" s="367" t="s">
        <v>5</v>
      </c>
      <c r="E3169" s="367" t="s">
        <v>6</v>
      </c>
      <c r="F3169" s="389" t="s">
        <v>5111</v>
      </c>
      <c r="G3169" s="385">
        <v>45993</v>
      </c>
      <c r="H3169" s="367" t="s">
        <v>9</v>
      </c>
      <c r="I3169" s="368" t="str">
        <f>VLOOKUP(H3169,'Source Codes'!A$2:B$115,2,FALSE)</f>
        <v>On Line Journal Entries</v>
      </c>
      <c r="J3169" s="412">
        <v>14785191.92</v>
      </c>
      <c r="K3169" s="385">
        <v>46007</v>
      </c>
      <c r="L3169" s="369" t="s">
        <v>344</v>
      </c>
      <c r="M3169" s="390">
        <v>46007.869629629633</v>
      </c>
      <c r="N3169" s="366" t="s">
        <v>356</v>
      </c>
      <c r="O3169" s="367" t="s">
        <v>364</v>
      </c>
      <c r="P3169" s="368" t="str">
        <f t="shared" si="93"/>
        <v>Revenue</v>
      </c>
      <c r="Q3169" s="366" t="s">
        <v>2232</v>
      </c>
      <c r="R3169" s="365" t="s">
        <v>2232</v>
      </c>
      <c r="S3169" s="366" t="s">
        <v>5114</v>
      </c>
    </row>
    <row r="3170" spans="1:19" ht="15" collapsed="1">
      <c r="J3170" s="413">
        <f>SUM(J3166:J3169)</f>
        <v>15038595.109999999</v>
      </c>
    </row>
    <row r="3172" spans="1:19" ht="12.75" customHeight="1">
      <c r="A3172" s="378" t="s">
        <v>5119</v>
      </c>
    </row>
    <row r="3173" spans="1:19" ht="75" hidden="1" outlineLevel="1">
      <c r="B3173" s="384">
        <v>2026</v>
      </c>
      <c r="C3173" s="384">
        <v>6</v>
      </c>
      <c r="D3173" s="367" t="s">
        <v>5</v>
      </c>
      <c r="E3173" s="367" t="s">
        <v>6</v>
      </c>
      <c r="F3173" s="389" t="s">
        <v>5120</v>
      </c>
      <c r="G3173" s="385">
        <v>46008</v>
      </c>
      <c r="H3173" s="367" t="s">
        <v>11</v>
      </c>
      <c r="I3173" s="368" t="str">
        <f>VLOOKUP(H3173,'Source Codes'!A$2:B$115,2,FALSE)</f>
        <v>AR Payments</v>
      </c>
      <c r="J3173" s="412">
        <v>1328678</v>
      </c>
      <c r="K3173" s="385">
        <v>46008</v>
      </c>
      <c r="L3173" s="369" t="s">
        <v>5122</v>
      </c>
      <c r="M3173" s="390">
        <v>46008.75199074074</v>
      </c>
      <c r="N3173" s="366" t="s">
        <v>359</v>
      </c>
      <c r="O3173" s="367" t="s">
        <v>357</v>
      </c>
      <c r="P3173" s="368" t="str">
        <f t="shared" ref="P3173" si="94">IF(J3173&gt;0,"Revenue",IF(J3173&lt;0,"Expense"))</f>
        <v>Revenue</v>
      </c>
      <c r="Q3173" s="366" t="s">
        <v>2157</v>
      </c>
      <c r="R3173" s="366" t="s">
        <v>2157</v>
      </c>
      <c r="S3173" s="366" t="s">
        <v>5121</v>
      </c>
    </row>
    <row r="3174" spans="1:19" ht="12.75" customHeight="1" collapsed="1">
      <c r="J3174" s="413">
        <f>SUM(J3173)</f>
        <v>1328678</v>
      </c>
    </row>
    <row r="3176" spans="1:19" ht="12.75" customHeight="1">
      <c r="A3176" s="378" t="s">
        <v>5123</v>
      </c>
    </row>
    <row r="3177" spans="1:19" ht="30" hidden="1" outlineLevel="1">
      <c r="B3177" s="384">
        <v>2026</v>
      </c>
      <c r="C3177" s="384">
        <v>6</v>
      </c>
      <c r="D3177" s="367" t="s">
        <v>5</v>
      </c>
      <c r="E3177" s="367" t="s">
        <v>6</v>
      </c>
      <c r="F3177" s="389" t="s">
        <v>5124</v>
      </c>
      <c r="G3177" s="385">
        <v>46013</v>
      </c>
      <c r="H3177" s="367" t="s">
        <v>14</v>
      </c>
      <c r="I3177" s="368" t="str">
        <f>VLOOKUP(H3177,'Source Codes'!A$2:B$115,2,FALSE)</f>
        <v>AP Warrant Issuance</v>
      </c>
      <c r="J3177" s="412">
        <v>-3516187.31</v>
      </c>
      <c r="K3177" s="385">
        <v>46009</v>
      </c>
      <c r="L3177" s="369" t="s">
        <v>5128</v>
      </c>
      <c r="M3177" s="390">
        <v>46009.758287037039</v>
      </c>
      <c r="N3177" s="366" t="s">
        <v>356</v>
      </c>
      <c r="O3177" s="367" t="s">
        <v>368</v>
      </c>
      <c r="P3177" s="368" t="str">
        <f t="shared" ref="P3177:P3179" si="95">IF(J3177&gt;0,"Revenue",IF(J3177&lt;0,"Expense"))</f>
        <v>Expense</v>
      </c>
      <c r="Q3177" s="366" t="s">
        <v>2154</v>
      </c>
      <c r="R3177" s="366" t="s">
        <v>2154</v>
      </c>
      <c r="S3177" s="366" t="s">
        <v>203</v>
      </c>
    </row>
    <row r="3178" spans="1:19" ht="60" hidden="1" outlineLevel="1">
      <c r="B3178" s="384">
        <v>2026</v>
      </c>
      <c r="C3178" s="384">
        <v>6</v>
      </c>
      <c r="D3178" s="367" t="s">
        <v>5</v>
      </c>
      <c r="E3178" s="367" t="s">
        <v>6</v>
      </c>
      <c r="F3178" s="389" t="s">
        <v>5125</v>
      </c>
      <c r="G3178" s="385">
        <v>46009</v>
      </c>
      <c r="H3178" s="367" t="s">
        <v>14</v>
      </c>
      <c r="I3178" s="368" t="str">
        <f>VLOOKUP(H3178,'Source Codes'!A$2:B$115,2,FALSE)</f>
        <v>AP Warrant Issuance</v>
      </c>
      <c r="J3178" s="412">
        <v>-1429939.06</v>
      </c>
      <c r="K3178" s="385">
        <v>46009</v>
      </c>
      <c r="L3178" s="369" t="s">
        <v>5129</v>
      </c>
      <c r="M3178" s="390">
        <v>46009.758287037039</v>
      </c>
      <c r="N3178" s="366" t="s">
        <v>356</v>
      </c>
      <c r="O3178" s="367" t="s">
        <v>357</v>
      </c>
      <c r="P3178" s="368" t="str">
        <f t="shared" si="95"/>
        <v>Expense</v>
      </c>
      <c r="Q3178" s="366" t="s">
        <v>2309</v>
      </c>
      <c r="R3178" s="366" t="s">
        <v>2310</v>
      </c>
      <c r="S3178" s="366">
        <v>532690</v>
      </c>
    </row>
    <row r="3179" spans="1:19" ht="30" hidden="1" outlineLevel="1">
      <c r="B3179" s="384">
        <v>2026</v>
      </c>
      <c r="C3179" s="384">
        <v>6</v>
      </c>
      <c r="D3179" s="367" t="s">
        <v>5</v>
      </c>
      <c r="E3179" s="367" t="s">
        <v>6</v>
      </c>
      <c r="F3179" s="389" t="s">
        <v>5126</v>
      </c>
      <c r="G3179" s="385">
        <v>46006</v>
      </c>
      <c r="H3179" s="367" t="s">
        <v>9</v>
      </c>
      <c r="I3179" s="368" t="str">
        <f>VLOOKUP(H3179,'Source Codes'!A$2:B$115,2,FALSE)</f>
        <v>On Line Journal Entries</v>
      </c>
      <c r="J3179" s="412">
        <v>3564320</v>
      </c>
      <c r="K3179" s="385">
        <v>46009</v>
      </c>
      <c r="L3179" s="369" t="s">
        <v>5127</v>
      </c>
      <c r="M3179" s="390">
        <v>46009.870034722226</v>
      </c>
      <c r="N3179" s="366" t="s">
        <v>359</v>
      </c>
      <c r="O3179" s="367" t="s">
        <v>369</v>
      </c>
      <c r="P3179" s="368" t="str">
        <f t="shared" si="95"/>
        <v>Revenue</v>
      </c>
      <c r="Q3179" s="366" t="s">
        <v>2268</v>
      </c>
      <c r="R3179" s="365">
        <v>46016</v>
      </c>
      <c r="S3179" s="366" t="s">
        <v>4726</v>
      </c>
    </row>
    <row r="3180" spans="1:19" ht="15" collapsed="1">
      <c r="J3180" s="413">
        <f>SUM(J3177:J3179)</f>
        <v>-1381806.37</v>
      </c>
    </row>
    <row r="3182" spans="1:19" ht="12.75" customHeight="1">
      <c r="A3182" s="378" t="s">
        <v>5130</v>
      </c>
    </row>
    <row r="3183" spans="1:19" ht="45" hidden="1" outlineLevel="1">
      <c r="B3183" s="384">
        <v>2026</v>
      </c>
      <c r="C3183" s="384">
        <v>6</v>
      </c>
      <c r="D3183" s="367" t="s">
        <v>5</v>
      </c>
      <c r="E3183" s="367" t="s">
        <v>6</v>
      </c>
      <c r="F3183" s="389" t="s">
        <v>5131</v>
      </c>
      <c r="G3183" s="385">
        <v>46006</v>
      </c>
      <c r="H3183" s="367" t="s">
        <v>12</v>
      </c>
      <c r="I3183" s="368" t="str">
        <f>VLOOKUP(H3183,'Source Codes'!A$2:B$115,2,FALSE)</f>
        <v>AR Direct Cash Journal</v>
      </c>
      <c r="J3183" s="412">
        <v>1599276.98</v>
      </c>
      <c r="K3183" s="385">
        <v>46010</v>
      </c>
      <c r="L3183" s="369" t="s">
        <v>5136</v>
      </c>
      <c r="M3183" s="390">
        <v>46010.752152777779</v>
      </c>
      <c r="N3183" s="366" t="s">
        <v>359</v>
      </c>
      <c r="O3183" s="367" t="s">
        <v>370</v>
      </c>
      <c r="P3183" s="368" t="str">
        <f t="shared" ref="P3183:P3185" si="96">IF(J3183&gt;0,"Revenue",IF(J3183&lt;0,"Expense"))</f>
        <v>Revenue</v>
      </c>
      <c r="Q3183" s="366" t="s">
        <v>2264</v>
      </c>
      <c r="R3183" s="366" t="s">
        <v>2264</v>
      </c>
      <c r="S3183" s="366" t="s">
        <v>5137</v>
      </c>
    </row>
    <row r="3184" spans="1:19" ht="30" hidden="1" outlineLevel="1">
      <c r="B3184" s="384">
        <v>2026</v>
      </c>
      <c r="C3184" s="384">
        <v>6</v>
      </c>
      <c r="D3184" s="367" t="s">
        <v>5</v>
      </c>
      <c r="E3184" s="367" t="s">
        <v>6</v>
      </c>
      <c r="F3184" s="389" t="s">
        <v>5132</v>
      </c>
      <c r="G3184" s="385">
        <v>46008</v>
      </c>
      <c r="H3184" s="367" t="s">
        <v>16</v>
      </c>
      <c r="I3184" s="368" t="str">
        <f>VLOOKUP(H3184,'Source Codes'!A$2:B$115,2,FALSE)</f>
        <v>Property Tax Interface</v>
      </c>
      <c r="J3184" s="412">
        <v>1153023.3</v>
      </c>
      <c r="K3184" s="385">
        <v>46010</v>
      </c>
      <c r="L3184" s="369" t="s">
        <v>5134</v>
      </c>
      <c r="M3184" s="390">
        <v>46010.352766203701</v>
      </c>
      <c r="N3184" s="368" t="s">
        <v>387</v>
      </c>
      <c r="O3184" s="368" t="s">
        <v>384</v>
      </c>
      <c r="P3184" s="368" t="str">
        <f t="shared" si="96"/>
        <v>Revenue</v>
      </c>
      <c r="Q3184" s="366" t="s">
        <v>2311</v>
      </c>
      <c r="R3184" s="366" t="s">
        <v>5138</v>
      </c>
      <c r="S3184" s="366" t="s">
        <v>2313</v>
      </c>
    </row>
    <row r="3185" spans="1:19" ht="30" hidden="1" outlineLevel="1">
      <c r="B3185" s="384">
        <v>2026</v>
      </c>
      <c r="C3185" s="384">
        <v>6</v>
      </c>
      <c r="D3185" s="367" t="s">
        <v>5</v>
      </c>
      <c r="E3185" s="367" t="s">
        <v>6</v>
      </c>
      <c r="F3185" s="389" t="s">
        <v>5133</v>
      </c>
      <c r="G3185" s="385">
        <v>46001</v>
      </c>
      <c r="H3185" s="367" t="s">
        <v>9</v>
      </c>
      <c r="I3185" s="368" t="str">
        <f>VLOOKUP(H3185,'Source Codes'!A$2:B$115,2,FALSE)</f>
        <v>On Line Journal Entries</v>
      </c>
      <c r="J3185" s="412">
        <v>-1910883.5</v>
      </c>
      <c r="K3185" s="385">
        <v>46010</v>
      </c>
      <c r="L3185" s="369" t="s">
        <v>5135</v>
      </c>
      <c r="M3185" s="390">
        <v>46010.870763888888</v>
      </c>
      <c r="N3185" s="368" t="s">
        <v>387</v>
      </c>
      <c r="O3185" s="367" t="s">
        <v>358</v>
      </c>
      <c r="P3185" s="368" t="str">
        <f t="shared" si="96"/>
        <v>Expense</v>
      </c>
      <c r="Q3185" s="366" t="s">
        <v>5139</v>
      </c>
      <c r="R3185" s="366" t="s">
        <v>5139</v>
      </c>
      <c r="S3185" s="366">
        <v>551100</v>
      </c>
    </row>
    <row r="3186" spans="1:19" ht="15" collapsed="1">
      <c r="J3186" s="413">
        <f>SUM(J3183:J3185)</f>
        <v>841416.78000000026</v>
      </c>
    </row>
    <row r="3188" spans="1:19" ht="12.75" customHeight="1">
      <c r="A3188" s="378" t="s">
        <v>5140</v>
      </c>
    </row>
    <row r="3189" spans="1:19" ht="60" hidden="1" outlineLevel="1">
      <c r="B3189" s="384">
        <v>2026</v>
      </c>
      <c r="C3189" s="384">
        <v>6</v>
      </c>
      <c r="D3189" s="367" t="s">
        <v>5</v>
      </c>
      <c r="E3189" s="367" t="s">
        <v>6</v>
      </c>
      <c r="F3189" s="389" t="s">
        <v>5141</v>
      </c>
      <c r="G3189" s="385">
        <v>46015</v>
      </c>
      <c r="H3189" s="367" t="s">
        <v>14</v>
      </c>
      <c r="I3189" s="368" t="str">
        <f>VLOOKUP(H3189,'Source Codes'!A$2:B$115,2,FALSE)</f>
        <v>AP Warrant Issuance</v>
      </c>
      <c r="J3189" s="412">
        <v>-5501930.8700000001</v>
      </c>
      <c r="K3189" s="385">
        <v>46013</v>
      </c>
      <c r="L3189" s="369" t="s">
        <v>5142</v>
      </c>
      <c r="M3189" s="390">
        <v>46013.758414351854</v>
      </c>
      <c r="N3189" s="366" t="s">
        <v>359</v>
      </c>
      <c r="O3189" s="367" t="s">
        <v>364</v>
      </c>
      <c r="P3189" s="368" t="str">
        <f t="shared" ref="P3189" si="97">IF(J3189&gt;0,"Revenue",IF(J3189&lt;0,"Expense"))</f>
        <v>Expense</v>
      </c>
      <c r="Q3189" s="366" t="s">
        <v>2254</v>
      </c>
      <c r="R3189" s="365">
        <v>45992</v>
      </c>
      <c r="S3189" s="366">
        <v>530440</v>
      </c>
    </row>
    <row r="3190" spans="1:19" ht="15" collapsed="1">
      <c r="J3190" s="413">
        <f>SUM(J3189)</f>
        <v>-5501930.8700000001</v>
      </c>
    </row>
    <row r="3192" spans="1:19" ht="12.75" customHeight="1">
      <c r="A3192" s="378" t="s">
        <v>5143</v>
      </c>
    </row>
    <row r="3193" spans="1:19" ht="30" hidden="1" outlineLevel="1">
      <c r="B3193" s="384">
        <v>2026</v>
      </c>
      <c r="C3193" s="384">
        <v>6</v>
      </c>
      <c r="D3193" s="367" t="s">
        <v>5</v>
      </c>
      <c r="E3193" s="367" t="s">
        <v>6</v>
      </c>
      <c r="F3193" s="389" t="s">
        <v>5144</v>
      </c>
      <c r="G3193" s="385">
        <v>46017</v>
      </c>
      <c r="H3193" s="367" t="s">
        <v>14</v>
      </c>
      <c r="I3193" s="368" t="str">
        <f>VLOOKUP(H3193,'Source Codes'!A$2:B$115,2,FALSE)</f>
        <v>AP Warrant Issuance</v>
      </c>
      <c r="J3193" s="412">
        <v>-3164603.87</v>
      </c>
      <c r="K3193" s="385">
        <v>46014</v>
      </c>
      <c r="L3193" s="369" t="s">
        <v>5158</v>
      </c>
      <c r="M3193" s="390">
        <v>46014.7578587963</v>
      </c>
      <c r="N3193" s="366" t="s">
        <v>356</v>
      </c>
      <c r="O3193" s="367" t="s">
        <v>368</v>
      </c>
      <c r="P3193" s="368" t="str">
        <f t="shared" ref="P3193:P3205" si="98">IF(J3193&gt;0,"Revenue",IF(J3193&lt;0,"Expense"))</f>
        <v>Expense</v>
      </c>
      <c r="Q3193" s="366" t="s">
        <v>2154</v>
      </c>
      <c r="R3193" s="365" t="s">
        <v>2154</v>
      </c>
      <c r="S3193" s="366" t="s">
        <v>203</v>
      </c>
    </row>
    <row r="3194" spans="1:19" ht="30" hidden="1" outlineLevel="1">
      <c r="B3194" s="384">
        <v>2026</v>
      </c>
      <c r="C3194" s="384">
        <v>6</v>
      </c>
      <c r="D3194" s="367" t="s">
        <v>5</v>
      </c>
      <c r="E3194" s="367" t="s">
        <v>6</v>
      </c>
      <c r="F3194" s="389" t="s">
        <v>5145</v>
      </c>
      <c r="G3194" s="385">
        <v>46014</v>
      </c>
      <c r="H3194" s="367" t="s">
        <v>14</v>
      </c>
      <c r="I3194" s="368" t="str">
        <f>VLOOKUP(H3194,'Source Codes'!A$2:B$115,2,FALSE)</f>
        <v>AP Warrant Issuance</v>
      </c>
      <c r="J3194" s="412">
        <v>-2174180.06</v>
      </c>
      <c r="K3194" s="385">
        <v>46014</v>
      </c>
      <c r="L3194" s="369" t="s">
        <v>5159</v>
      </c>
      <c r="M3194" s="390">
        <v>46014.7578587963</v>
      </c>
      <c r="N3194" s="366" t="s">
        <v>356</v>
      </c>
      <c r="O3194" s="367" t="s">
        <v>357</v>
      </c>
      <c r="P3194" s="368" t="str">
        <f t="shared" si="98"/>
        <v>Expense</v>
      </c>
      <c r="Q3194" s="366" t="s">
        <v>2309</v>
      </c>
      <c r="R3194" s="365" t="s">
        <v>2310</v>
      </c>
      <c r="S3194" s="366" t="s">
        <v>203</v>
      </c>
    </row>
    <row r="3195" spans="1:19" ht="30" hidden="1" outlineLevel="1">
      <c r="B3195" s="384">
        <v>2026</v>
      </c>
      <c r="C3195" s="384">
        <v>6</v>
      </c>
      <c r="D3195" s="367" t="s">
        <v>5</v>
      </c>
      <c r="E3195" s="367" t="s">
        <v>6</v>
      </c>
      <c r="F3195" s="389" t="s">
        <v>5146</v>
      </c>
      <c r="G3195" s="385">
        <v>46014</v>
      </c>
      <c r="H3195" s="367" t="s">
        <v>12</v>
      </c>
      <c r="I3195" s="368" t="str">
        <f>VLOOKUP(H3195,'Source Codes'!A$2:B$115,2,FALSE)</f>
        <v>AR Direct Cash Journal</v>
      </c>
      <c r="J3195" s="412">
        <v>2576753.7999999998</v>
      </c>
      <c r="K3195" s="385">
        <v>46014</v>
      </c>
      <c r="L3195" s="369" t="s">
        <v>5160</v>
      </c>
      <c r="M3195" s="390">
        <v>46014.752141203702</v>
      </c>
      <c r="N3195" s="366" t="s">
        <v>356</v>
      </c>
      <c r="O3195" s="367" t="s">
        <v>370</v>
      </c>
      <c r="P3195" s="368" t="str">
        <f t="shared" si="98"/>
        <v>Revenue</v>
      </c>
      <c r="Q3195" s="366" t="s">
        <v>2264</v>
      </c>
      <c r="R3195" s="365" t="s">
        <v>2264</v>
      </c>
      <c r="S3195" s="366" t="s">
        <v>5161</v>
      </c>
    </row>
    <row r="3196" spans="1:19" ht="75" hidden="1" outlineLevel="1">
      <c r="B3196" s="384">
        <v>2026</v>
      </c>
      <c r="C3196" s="384">
        <v>6</v>
      </c>
      <c r="D3196" s="367" t="s">
        <v>5</v>
      </c>
      <c r="E3196" s="367" t="s">
        <v>6</v>
      </c>
      <c r="F3196" s="389" t="s">
        <v>5147</v>
      </c>
      <c r="G3196" s="385">
        <v>46013</v>
      </c>
      <c r="H3196" s="367" t="s">
        <v>11</v>
      </c>
      <c r="I3196" s="368" t="str">
        <f>VLOOKUP(H3196,'Source Codes'!A$2:B$115,2,FALSE)</f>
        <v>AR Payments</v>
      </c>
      <c r="J3196" s="412">
        <v>2531138.64</v>
      </c>
      <c r="K3196" s="385">
        <v>46014</v>
      </c>
      <c r="L3196" s="369" t="s">
        <v>5162</v>
      </c>
      <c r="M3196" s="390">
        <v>46014.752141203702</v>
      </c>
      <c r="N3196" s="366" t="s">
        <v>359</v>
      </c>
      <c r="O3196" s="367" t="s">
        <v>357</v>
      </c>
      <c r="P3196" s="368" t="str">
        <f t="shared" si="98"/>
        <v>Revenue</v>
      </c>
      <c r="Q3196" s="366" t="s">
        <v>2157</v>
      </c>
      <c r="R3196" s="365" t="s">
        <v>2157</v>
      </c>
      <c r="S3196" s="366" t="s">
        <v>2278</v>
      </c>
    </row>
    <row r="3197" spans="1:19" ht="30" hidden="1" outlineLevel="1">
      <c r="B3197" s="384">
        <v>2026</v>
      </c>
      <c r="C3197" s="384">
        <v>6</v>
      </c>
      <c r="D3197" s="367" t="s">
        <v>5</v>
      </c>
      <c r="E3197" s="367" t="s">
        <v>6</v>
      </c>
      <c r="F3197" s="389" t="s">
        <v>5148</v>
      </c>
      <c r="G3197" s="385">
        <v>46009</v>
      </c>
      <c r="H3197" s="367" t="s">
        <v>9</v>
      </c>
      <c r="I3197" s="368" t="str">
        <f>VLOOKUP(H3197,'Source Codes'!A$2:B$115,2,FALSE)</f>
        <v>On Line Journal Entries</v>
      </c>
      <c r="J3197" s="412">
        <v>17220824.030000001</v>
      </c>
      <c r="K3197" s="385">
        <v>46014</v>
      </c>
      <c r="L3197" s="369" t="s">
        <v>344</v>
      </c>
      <c r="M3197" s="390">
        <v>46014.870416666665</v>
      </c>
      <c r="N3197" s="366" t="s">
        <v>356</v>
      </c>
      <c r="O3197" s="367" t="s">
        <v>364</v>
      </c>
      <c r="P3197" s="368" t="str">
        <f t="shared" si="98"/>
        <v>Revenue</v>
      </c>
      <c r="Q3197" s="366" t="s">
        <v>2232</v>
      </c>
      <c r="R3197" s="365" t="s">
        <v>2232</v>
      </c>
      <c r="S3197" s="366" t="s">
        <v>3044</v>
      </c>
    </row>
    <row r="3198" spans="1:19" ht="30" hidden="1" outlineLevel="1">
      <c r="B3198" s="384">
        <v>2026</v>
      </c>
      <c r="C3198" s="384">
        <v>6</v>
      </c>
      <c r="D3198" s="367" t="s">
        <v>5</v>
      </c>
      <c r="E3198" s="367" t="s">
        <v>6</v>
      </c>
      <c r="F3198" s="389" t="s">
        <v>5149</v>
      </c>
      <c r="G3198" s="385">
        <v>46008</v>
      </c>
      <c r="H3198" s="367" t="s">
        <v>9</v>
      </c>
      <c r="I3198" s="368" t="str">
        <f>VLOOKUP(H3198,'Source Codes'!A$2:B$115,2,FALSE)</f>
        <v>On Line Journal Entries</v>
      </c>
      <c r="J3198" s="412">
        <v>12243351.960000001</v>
      </c>
      <c r="K3198" s="385">
        <v>46014</v>
      </c>
      <c r="L3198" s="369" t="s">
        <v>344</v>
      </c>
      <c r="M3198" s="390">
        <v>46014.870416666665</v>
      </c>
      <c r="N3198" s="366" t="s">
        <v>356</v>
      </c>
      <c r="O3198" s="367" t="s">
        <v>364</v>
      </c>
      <c r="P3198" s="368" t="str">
        <f t="shared" si="98"/>
        <v>Revenue</v>
      </c>
      <c r="Q3198" s="366" t="s">
        <v>2232</v>
      </c>
      <c r="R3198" s="365" t="s">
        <v>2232</v>
      </c>
      <c r="S3198" s="366" t="s">
        <v>5163</v>
      </c>
    </row>
    <row r="3199" spans="1:19" ht="30" hidden="1" outlineLevel="1">
      <c r="B3199" s="384">
        <v>2026</v>
      </c>
      <c r="C3199" s="384">
        <v>6</v>
      </c>
      <c r="D3199" s="367" t="s">
        <v>5</v>
      </c>
      <c r="E3199" s="367" t="s">
        <v>6</v>
      </c>
      <c r="F3199" s="389" t="s">
        <v>5150</v>
      </c>
      <c r="G3199" s="385">
        <v>46008</v>
      </c>
      <c r="H3199" s="367" t="s">
        <v>9</v>
      </c>
      <c r="I3199" s="368" t="str">
        <f>VLOOKUP(H3199,'Source Codes'!A$2:B$115,2,FALSE)</f>
        <v>On Line Journal Entries</v>
      </c>
      <c r="J3199" s="412">
        <v>8608339</v>
      </c>
      <c r="K3199" s="385">
        <v>46014</v>
      </c>
      <c r="L3199" s="369" t="s">
        <v>344</v>
      </c>
      <c r="M3199" s="390">
        <v>46014.870416666665</v>
      </c>
      <c r="N3199" s="366" t="s">
        <v>356</v>
      </c>
      <c r="O3199" s="367" t="s">
        <v>364</v>
      </c>
      <c r="P3199" s="368" t="str">
        <f t="shared" si="98"/>
        <v>Revenue</v>
      </c>
      <c r="Q3199" s="366" t="s">
        <v>2232</v>
      </c>
      <c r="R3199" s="365" t="s">
        <v>2232</v>
      </c>
      <c r="S3199" s="366" t="s">
        <v>5164</v>
      </c>
    </row>
    <row r="3200" spans="1:19" ht="45" hidden="1" outlineLevel="1">
      <c r="B3200" s="384">
        <v>2026</v>
      </c>
      <c r="C3200" s="384">
        <v>6</v>
      </c>
      <c r="D3200" s="367" t="s">
        <v>5</v>
      </c>
      <c r="E3200" s="367" t="s">
        <v>6</v>
      </c>
      <c r="F3200" s="389" t="s">
        <v>5151</v>
      </c>
      <c r="G3200" s="385">
        <v>46010</v>
      </c>
      <c r="H3200" s="367" t="s">
        <v>9</v>
      </c>
      <c r="I3200" s="368" t="str">
        <f>VLOOKUP(H3200,'Source Codes'!A$2:B$115,2,FALSE)</f>
        <v>On Line Journal Entries</v>
      </c>
      <c r="J3200" s="412">
        <v>6134723</v>
      </c>
      <c r="K3200" s="385">
        <v>46014</v>
      </c>
      <c r="L3200" s="369" t="s">
        <v>352</v>
      </c>
      <c r="M3200" s="390">
        <v>46014.870416666665</v>
      </c>
      <c r="N3200" s="366" t="s">
        <v>356</v>
      </c>
      <c r="O3200" s="367" t="s">
        <v>364</v>
      </c>
      <c r="P3200" s="368" t="str">
        <f t="shared" si="98"/>
        <v>Revenue</v>
      </c>
      <c r="Q3200" s="366" t="s">
        <v>2232</v>
      </c>
      <c r="R3200" s="365" t="s">
        <v>2232</v>
      </c>
      <c r="S3200" s="366" t="s">
        <v>2789</v>
      </c>
    </row>
    <row r="3201" spans="1:20" ht="30" hidden="1" outlineLevel="1">
      <c r="B3201" s="384">
        <v>2026</v>
      </c>
      <c r="C3201" s="384">
        <v>6</v>
      </c>
      <c r="D3201" s="367" t="s">
        <v>5</v>
      </c>
      <c r="E3201" s="367" t="s">
        <v>6</v>
      </c>
      <c r="F3201" s="389" t="s">
        <v>5152</v>
      </c>
      <c r="G3201" s="385">
        <v>46009</v>
      </c>
      <c r="H3201" s="367" t="s">
        <v>9</v>
      </c>
      <c r="I3201" s="368" t="str">
        <f>VLOOKUP(H3201,'Source Codes'!A$2:B$115,2,FALSE)</f>
        <v>On Line Journal Entries</v>
      </c>
      <c r="J3201" s="412">
        <v>5265723</v>
      </c>
      <c r="K3201" s="385">
        <v>46014</v>
      </c>
      <c r="L3201" s="369" t="s">
        <v>334</v>
      </c>
      <c r="M3201" s="390">
        <v>46014.870416666665</v>
      </c>
      <c r="N3201" s="366" t="s">
        <v>356</v>
      </c>
      <c r="O3201" s="367" t="s">
        <v>364</v>
      </c>
      <c r="P3201" s="368" t="str">
        <f t="shared" si="98"/>
        <v>Revenue</v>
      </c>
      <c r="Q3201" s="366" t="s">
        <v>2232</v>
      </c>
      <c r="R3201" s="365" t="s">
        <v>2232</v>
      </c>
      <c r="S3201" s="366">
        <v>750741</v>
      </c>
    </row>
    <row r="3202" spans="1:20" ht="60" hidden="1" outlineLevel="1">
      <c r="B3202" s="384">
        <v>2026</v>
      </c>
      <c r="C3202" s="384">
        <v>6</v>
      </c>
      <c r="D3202" s="367" t="s">
        <v>5</v>
      </c>
      <c r="E3202" s="367" t="s">
        <v>6</v>
      </c>
      <c r="F3202" s="389" t="s">
        <v>5153</v>
      </c>
      <c r="G3202" s="385">
        <v>46009</v>
      </c>
      <c r="H3202" s="367" t="s">
        <v>9</v>
      </c>
      <c r="I3202" s="368" t="str">
        <f>VLOOKUP(H3202,'Source Codes'!A$2:B$115,2,FALSE)</f>
        <v>On Line Journal Entries</v>
      </c>
      <c r="J3202" s="412">
        <v>3918153.49</v>
      </c>
      <c r="K3202" s="385">
        <v>46014</v>
      </c>
      <c r="L3202" s="369" t="s">
        <v>347</v>
      </c>
      <c r="M3202" s="390">
        <v>46014.870416666665</v>
      </c>
      <c r="N3202" s="366" t="s">
        <v>356</v>
      </c>
      <c r="O3202" s="367" t="s">
        <v>364</v>
      </c>
      <c r="P3202" s="368" t="str">
        <f t="shared" si="98"/>
        <v>Revenue</v>
      </c>
      <c r="Q3202" s="366" t="s">
        <v>2232</v>
      </c>
      <c r="R3202" s="365" t="s">
        <v>2232</v>
      </c>
      <c r="S3202" s="366">
        <v>755924</v>
      </c>
    </row>
    <row r="3203" spans="1:20" ht="30" hidden="1" outlineLevel="1">
      <c r="B3203" s="384">
        <v>2026</v>
      </c>
      <c r="C3203" s="384">
        <v>6</v>
      </c>
      <c r="D3203" s="367" t="s">
        <v>5</v>
      </c>
      <c r="E3203" s="367" t="s">
        <v>6</v>
      </c>
      <c r="F3203" s="389" t="s">
        <v>5154</v>
      </c>
      <c r="G3203" s="385">
        <v>46008</v>
      </c>
      <c r="H3203" s="367" t="s">
        <v>9</v>
      </c>
      <c r="I3203" s="368" t="str">
        <f>VLOOKUP(H3203,'Source Codes'!A$2:B$115,2,FALSE)</f>
        <v>On Line Journal Entries</v>
      </c>
      <c r="J3203" s="412">
        <v>2930205</v>
      </c>
      <c r="K3203" s="385">
        <v>46014</v>
      </c>
      <c r="L3203" s="369" t="s">
        <v>344</v>
      </c>
      <c r="M3203" s="390">
        <v>46014.870416666665</v>
      </c>
      <c r="N3203" s="366" t="s">
        <v>356</v>
      </c>
      <c r="O3203" s="367" t="s">
        <v>364</v>
      </c>
      <c r="P3203" s="368" t="str">
        <f t="shared" si="98"/>
        <v>Revenue</v>
      </c>
      <c r="Q3203" s="366" t="s">
        <v>2232</v>
      </c>
      <c r="R3203" s="365" t="s">
        <v>2232</v>
      </c>
      <c r="S3203" s="366" t="s">
        <v>5165</v>
      </c>
    </row>
    <row r="3204" spans="1:20" ht="15" hidden="1" outlineLevel="1">
      <c r="B3204" s="384">
        <v>2026</v>
      </c>
      <c r="C3204" s="384">
        <v>6</v>
      </c>
      <c r="D3204" s="367" t="s">
        <v>5</v>
      </c>
      <c r="E3204" s="367" t="s">
        <v>6</v>
      </c>
      <c r="F3204" s="389" t="s">
        <v>5155</v>
      </c>
      <c r="G3204" s="385">
        <v>46015</v>
      </c>
      <c r="H3204" s="367" t="s">
        <v>7</v>
      </c>
      <c r="I3204" s="368" t="str">
        <f>VLOOKUP(H3204,'Source Codes'!A$2:B$115,2,FALSE)</f>
        <v>HRMS Interface Journals</v>
      </c>
      <c r="J3204" s="412">
        <v>-1853890.9</v>
      </c>
      <c r="K3204" s="385">
        <v>46014</v>
      </c>
      <c r="L3204" s="369" t="s">
        <v>406</v>
      </c>
      <c r="M3204" s="390">
        <v>46014.617673611108</v>
      </c>
      <c r="N3204" s="366" t="s">
        <v>378</v>
      </c>
      <c r="O3204" s="367" t="s">
        <v>371</v>
      </c>
      <c r="P3204" s="368" t="str">
        <f t="shared" si="98"/>
        <v>Expense</v>
      </c>
      <c r="Q3204" s="366" t="s">
        <v>379</v>
      </c>
      <c r="R3204" s="365" t="s">
        <v>5106</v>
      </c>
      <c r="S3204" s="366">
        <v>510200</v>
      </c>
    </row>
    <row r="3205" spans="1:20" ht="30" hidden="1" outlineLevel="1">
      <c r="B3205" s="384">
        <v>2026</v>
      </c>
      <c r="C3205" s="384">
        <v>6</v>
      </c>
      <c r="D3205" s="367" t="s">
        <v>5</v>
      </c>
      <c r="E3205" s="367" t="s">
        <v>6</v>
      </c>
      <c r="F3205" s="389" t="s">
        <v>5156</v>
      </c>
      <c r="G3205" s="385">
        <v>46013</v>
      </c>
      <c r="H3205" s="367" t="s">
        <v>337</v>
      </c>
      <c r="I3205" s="368" t="str">
        <f>VLOOKUP(H3205,'Source Codes'!A$2:B$115,2,FALSE)</f>
        <v>Facilities Mngmnt Intfc Jrnls</v>
      </c>
      <c r="J3205" s="412">
        <v>-4452850.1100000003</v>
      </c>
      <c r="K3205" s="385">
        <v>46014</v>
      </c>
      <c r="L3205" s="369" t="s">
        <v>5157</v>
      </c>
      <c r="M3205" s="390">
        <v>46014.870532407411</v>
      </c>
      <c r="N3205" s="366" t="s">
        <v>359</v>
      </c>
      <c r="O3205" s="367" t="s">
        <v>367</v>
      </c>
      <c r="P3205" s="368" t="str">
        <f t="shared" si="98"/>
        <v>Expense</v>
      </c>
      <c r="Q3205" s="366" t="s">
        <v>2237</v>
      </c>
      <c r="R3205" s="365" t="s">
        <v>5166</v>
      </c>
      <c r="S3205" s="366" t="s">
        <v>2239</v>
      </c>
    </row>
    <row r="3206" spans="1:20" ht="15" collapsed="1">
      <c r="J3206" s="413">
        <f>SUM(J3193:J3205)</f>
        <v>49783686.980000004</v>
      </c>
    </row>
    <row r="3208" spans="1:20" ht="12.75" customHeight="1">
      <c r="A3208" s="378" t="s">
        <v>5167</v>
      </c>
      <c r="J3208" s="435"/>
      <c r="L3208" s="377"/>
      <c r="M3208" s="392"/>
    </row>
    <row r="3209" spans="1:20" ht="30" hidden="1" outlineLevel="1">
      <c r="B3209" s="384">
        <v>2026</v>
      </c>
      <c r="C3209" s="384">
        <v>6</v>
      </c>
      <c r="D3209" s="367" t="s">
        <v>5</v>
      </c>
      <c r="E3209" s="367" t="s">
        <v>6</v>
      </c>
      <c r="F3209" s="389" t="s">
        <v>5168</v>
      </c>
      <c r="G3209" s="385">
        <v>46020</v>
      </c>
      <c r="H3209" s="367" t="s">
        <v>14</v>
      </c>
      <c r="I3209" s="368" t="str">
        <f>VLOOKUP(H3209,'Source Codes'!A$2:B$115,2,FALSE)</f>
        <v>AP Warrant Issuance</v>
      </c>
      <c r="J3209" s="412">
        <v>-1095502.19</v>
      </c>
      <c r="K3209" s="385">
        <v>46015</v>
      </c>
      <c r="L3209" s="369" t="s">
        <v>5172</v>
      </c>
      <c r="M3209" s="390">
        <v>46015.756516203706</v>
      </c>
      <c r="N3209" s="368" t="s">
        <v>359</v>
      </c>
      <c r="O3209" s="367" t="s">
        <v>368</v>
      </c>
      <c r="P3209" s="368" t="str">
        <f t="shared" ref="P3209:P3211" si="99">IF(J3209&gt;0,"Revenue",IF(J3209&lt;0,"Expense"))</f>
        <v>Expense</v>
      </c>
      <c r="Q3209" s="366" t="s">
        <v>2154</v>
      </c>
      <c r="R3209" s="365" t="s">
        <v>2154</v>
      </c>
      <c r="S3209" s="366" t="s">
        <v>203</v>
      </c>
    </row>
    <row r="3210" spans="1:20" ht="30" hidden="1" outlineLevel="1">
      <c r="B3210" s="384">
        <v>2026</v>
      </c>
      <c r="C3210" s="384">
        <v>6</v>
      </c>
      <c r="D3210" s="367" t="s">
        <v>5</v>
      </c>
      <c r="E3210" s="367" t="s">
        <v>6</v>
      </c>
      <c r="F3210" s="389" t="s">
        <v>5169</v>
      </c>
      <c r="G3210" s="385">
        <v>46015</v>
      </c>
      <c r="H3210" s="367" t="s">
        <v>11</v>
      </c>
      <c r="I3210" s="368" t="str">
        <f>VLOOKUP(H3210,'Source Codes'!A$2:B$115,2,FALSE)</f>
        <v>AR Payments</v>
      </c>
      <c r="J3210" s="412">
        <v>1991812.06</v>
      </c>
      <c r="K3210" s="385">
        <v>46015</v>
      </c>
      <c r="L3210" s="369" t="s">
        <v>5173</v>
      </c>
      <c r="M3210" s="390">
        <v>46015.752175925925</v>
      </c>
      <c r="N3210" s="366" t="s">
        <v>356</v>
      </c>
      <c r="O3210" s="367" t="s">
        <v>362</v>
      </c>
      <c r="P3210" s="368" t="str">
        <f t="shared" si="99"/>
        <v>Revenue</v>
      </c>
      <c r="Q3210" s="366" t="s">
        <v>2360</v>
      </c>
      <c r="R3210" s="366" t="s">
        <v>3049</v>
      </c>
      <c r="S3210" s="366" t="s">
        <v>5174</v>
      </c>
      <c r="T3210" s="366"/>
    </row>
    <row r="3211" spans="1:20" ht="15" hidden="1" outlineLevel="1">
      <c r="B3211" s="384">
        <v>2026</v>
      </c>
      <c r="C3211" s="384">
        <v>6</v>
      </c>
      <c r="D3211" s="367" t="s">
        <v>5</v>
      </c>
      <c r="E3211" s="367" t="s">
        <v>6</v>
      </c>
      <c r="F3211" s="389" t="s">
        <v>5170</v>
      </c>
      <c r="G3211" s="385">
        <v>46015</v>
      </c>
      <c r="H3211" s="367" t="s">
        <v>110</v>
      </c>
      <c r="I3211" s="368" t="str">
        <f>VLOOKUP(H3211,'Source Codes'!A$2:B$115,2,FALSE)</f>
        <v>Treasurers Interest Apportion</v>
      </c>
      <c r="J3211" s="412">
        <v>13276239.369999999</v>
      </c>
      <c r="K3211" s="385">
        <v>46015</v>
      </c>
      <c r="L3211" s="369" t="s">
        <v>5171</v>
      </c>
      <c r="M3211" s="390">
        <v>46015.505925925929</v>
      </c>
      <c r="N3211" s="366" t="s">
        <v>372</v>
      </c>
      <c r="O3211" s="367" t="s">
        <v>371</v>
      </c>
      <c r="P3211" s="368" t="str">
        <f t="shared" si="99"/>
        <v>Revenue</v>
      </c>
      <c r="Q3211" s="366" t="s">
        <v>2363</v>
      </c>
      <c r="R3211" s="365" t="s">
        <v>5175</v>
      </c>
      <c r="S3211" s="366">
        <v>740020</v>
      </c>
    </row>
    <row r="3212" spans="1:20" ht="15" collapsed="1">
      <c r="J3212" s="413">
        <f>SUM(J3209:J3211)</f>
        <v>14172549.239999998</v>
      </c>
    </row>
    <row r="3214" spans="1:20" ht="12.75" customHeight="1">
      <c r="A3214" s="378" t="s">
        <v>5176</v>
      </c>
    </row>
    <row r="3215" spans="1:20" ht="30" hidden="1" outlineLevel="1">
      <c r="B3215" s="384">
        <v>2026</v>
      </c>
      <c r="C3215" s="384">
        <v>6</v>
      </c>
      <c r="D3215" s="367" t="s">
        <v>5</v>
      </c>
      <c r="E3215" s="367" t="s">
        <v>6</v>
      </c>
      <c r="F3215" s="389" t="s">
        <v>5177</v>
      </c>
      <c r="G3215" s="385">
        <v>46022</v>
      </c>
      <c r="H3215" s="367" t="s">
        <v>14</v>
      </c>
      <c r="I3215" s="368" t="str">
        <f>VLOOKUP(H3215,'Source Codes'!A$2:B$115,2,FALSE)</f>
        <v>AP Warrant Issuance</v>
      </c>
      <c r="J3215" s="412">
        <v>-4652555.21</v>
      </c>
      <c r="K3215" s="385">
        <v>46020</v>
      </c>
      <c r="L3215" s="369" t="s">
        <v>5189</v>
      </c>
      <c r="M3215" s="390">
        <v>46020.7578587963</v>
      </c>
      <c r="N3215" s="368" t="s">
        <v>359</v>
      </c>
      <c r="O3215" s="367" t="s">
        <v>368</v>
      </c>
      <c r="P3215" s="368" t="str">
        <f t="shared" ref="P3215:P3225" si="100">IF(J3215&gt;0,"Revenue",IF(J3215&lt;0,"Expense"))</f>
        <v>Expense</v>
      </c>
      <c r="Q3215" s="366" t="s">
        <v>2154</v>
      </c>
      <c r="R3215" s="365" t="s">
        <v>2154</v>
      </c>
      <c r="S3215" s="366" t="s">
        <v>203</v>
      </c>
    </row>
    <row r="3216" spans="1:20" ht="30" hidden="1" outlineLevel="1">
      <c r="B3216" s="384">
        <v>2026</v>
      </c>
      <c r="C3216" s="384">
        <v>6</v>
      </c>
      <c r="D3216" s="367" t="s">
        <v>5</v>
      </c>
      <c r="E3216" s="367" t="s">
        <v>6</v>
      </c>
      <c r="F3216" s="389" t="s">
        <v>5178</v>
      </c>
      <c r="G3216" s="385">
        <v>46020</v>
      </c>
      <c r="H3216" s="367" t="s">
        <v>14</v>
      </c>
      <c r="I3216" s="368" t="str">
        <f>VLOOKUP(H3216,'Source Codes'!A$2:B$115,2,FALSE)</f>
        <v>AP Warrant Issuance</v>
      </c>
      <c r="J3216" s="412">
        <v>-1840499.91</v>
      </c>
      <c r="K3216" s="385">
        <v>46020</v>
      </c>
      <c r="L3216" s="369" t="s">
        <v>5190</v>
      </c>
      <c r="M3216" s="390">
        <v>46020.7578587963</v>
      </c>
      <c r="N3216" s="366" t="s">
        <v>356</v>
      </c>
      <c r="O3216" s="367" t="s">
        <v>357</v>
      </c>
      <c r="P3216" s="368" t="str">
        <f t="shared" si="100"/>
        <v>Expense</v>
      </c>
      <c r="Q3216" s="366" t="s">
        <v>2309</v>
      </c>
      <c r="R3216" s="366" t="s">
        <v>2310</v>
      </c>
      <c r="S3216" s="366" t="s">
        <v>203</v>
      </c>
    </row>
    <row r="3217" spans="1:19" ht="30" hidden="1" outlineLevel="1">
      <c r="B3217" s="384">
        <v>2026</v>
      </c>
      <c r="C3217" s="384">
        <v>6</v>
      </c>
      <c r="D3217" s="367" t="s">
        <v>5</v>
      </c>
      <c r="E3217" s="367" t="s">
        <v>6</v>
      </c>
      <c r="F3217" s="389" t="s">
        <v>5179</v>
      </c>
      <c r="G3217" s="385">
        <v>46020</v>
      </c>
      <c r="H3217" s="367" t="s">
        <v>14</v>
      </c>
      <c r="I3217" s="368" t="str">
        <f>VLOOKUP(H3217,'Source Codes'!A$2:B$115,2,FALSE)</f>
        <v>AP Warrant Issuance</v>
      </c>
      <c r="J3217" s="412">
        <v>-1330865.24</v>
      </c>
      <c r="K3217" s="385">
        <v>46020</v>
      </c>
      <c r="L3217" s="369" t="s">
        <v>5200</v>
      </c>
      <c r="M3217" s="390">
        <v>46020.7578587963</v>
      </c>
      <c r="N3217" s="366" t="s">
        <v>356</v>
      </c>
      <c r="O3217" s="367" t="s">
        <v>364</v>
      </c>
      <c r="P3217" s="368" t="str">
        <f t="shared" si="100"/>
        <v>Expense</v>
      </c>
      <c r="Q3217" s="366" t="s">
        <v>2344</v>
      </c>
      <c r="R3217" s="366" t="s">
        <v>2344</v>
      </c>
      <c r="S3217" s="366" t="s">
        <v>203</v>
      </c>
    </row>
    <row r="3218" spans="1:19" ht="45" hidden="1" outlineLevel="1">
      <c r="B3218" s="384">
        <v>2026</v>
      </c>
      <c r="C3218" s="384">
        <v>6</v>
      </c>
      <c r="D3218" s="367" t="s">
        <v>5</v>
      </c>
      <c r="E3218" s="367" t="s">
        <v>6</v>
      </c>
      <c r="F3218" s="389" t="s">
        <v>5180</v>
      </c>
      <c r="G3218" s="385">
        <v>46020</v>
      </c>
      <c r="H3218" s="367" t="s">
        <v>11</v>
      </c>
      <c r="I3218" s="368" t="str">
        <f>VLOOKUP(H3218,'Source Codes'!A$2:B$115,2,FALSE)</f>
        <v>AR Payments</v>
      </c>
      <c r="J3218" s="412">
        <v>1429468.78</v>
      </c>
      <c r="K3218" s="385">
        <v>46020</v>
      </c>
      <c r="L3218" s="369" t="s">
        <v>5193</v>
      </c>
      <c r="M3218" s="390">
        <v>46020.75203703704</v>
      </c>
      <c r="N3218" s="366" t="s">
        <v>359</v>
      </c>
      <c r="O3218" s="367" t="s">
        <v>357</v>
      </c>
      <c r="P3218" s="368" t="str">
        <f t="shared" si="100"/>
        <v>Revenue</v>
      </c>
      <c r="Q3218" s="366" t="s">
        <v>2157</v>
      </c>
      <c r="R3218" s="366" t="s">
        <v>2157</v>
      </c>
      <c r="S3218" s="366" t="s">
        <v>2278</v>
      </c>
    </row>
    <row r="3219" spans="1:19" ht="75" hidden="1" outlineLevel="1">
      <c r="B3219" s="384">
        <v>2026</v>
      </c>
      <c r="C3219" s="384">
        <v>6</v>
      </c>
      <c r="D3219" s="367" t="s">
        <v>5</v>
      </c>
      <c r="E3219" s="367" t="s">
        <v>6</v>
      </c>
      <c r="F3219" s="389" t="s">
        <v>5181</v>
      </c>
      <c r="G3219" s="385">
        <v>46020</v>
      </c>
      <c r="H3219" s="367" t="s">
        <v>12</v>
      </c>
      <c r="I3219" s="368" t="str">
        <f>VLOOKUP(H3219,'Source Codes'!A$2:B$115,2,FALSE)</f>
        <v>AR Direct Cash Journal</v>
      </c>
      <c r="J3219" s="412">
        <v>2332348.5099999998</v>
      </c>
      <c r="K3219" s="385">
        <v>46020</v>
      </c>
      <c r="L3219" s="369" t="s">
        <v>5201</v>
      </c>
      <c r="M3219" s="390">
        <v>46020.75203703704</v>
      </c>
      <c r="N3219" s="366" t="s">
        <v>359</v>
      </c>
      <c r="O3219" s="367" t="s">
        <v>371</v>
      </c>
      <c r="P3219" s="368" t="str">
        <f t="shared" si="100"/>
        <v>Revenue</v>
      </c>
      <c r="Q3219" s="366" t="s">
        <v>3577</v>
      </c>
      <c r="R3219" s="366" t="s">
        <v>5191</v>
      </c>
      <c r="S3219" s="366" t="s">
        <v>5192</v>
      </c>
    </row>
    <row r="3220" spans="1:19" ht="45" hidden="1" outlineLevel="1">
      <c r="B3220" s="384">
        <v>2026</v>
      </c>
      <c r="C3220" s="384">
        <v>6</v>
      </c>
      <c r="D3220" s="367" t="s">
        <v>5</v>
      </c>
      <c r="E3220" s="367" t="s">
        <v>6</v>
      </c>
      <c r="F3220" s="389" t="s">
        <v>5182</v>
      </c>
      <c r="G3220" s="385">
        <v>46015</v>
      </c>
      <c r="H3220" s="367" t="s">
        <v>12</v>
      </c>
      <c r="I3220" s="368" t="str">
        <f>VLOOKUP(H3220,'Source Codes'!A$2:B$115,2,FALSE)</f>
        <v>AR Direct Cash Journal</v>
      </c>
      <c r="J3220" s="412">
        <v>3863879.31</v>
      </c>
      <c r="K3220" s="385">
        <v>46020</v>
      </c>
      <c r="L3220" s="369" t="s">
        <v>5202</v>
      </c>
      <c r="M3220" s="390">
        <v>46020.75203703704</v>
      </c>
      <c r="N3220" s="368" t="s">
        <v>359</v>
      </c>
      <c r="O3220" s="367" t="s">
        <v>371</v>
      </c>
      <c r="P3220" s="368" t="str">
        <f t="shared" si="100"/>
        <v>Revenue</v>
      </c>
      <c r="Q3220" s="366" t="s">
        <v>2316</v>
      </c>
      <c r="R3220" s="365" t="s">
        <v>4857</v>
      </c>
      <c r="S3220" s="366">
        <v>710020</v>
      </c>
    </row>
    <row r="3221" spans="1:19" ht="45" hidden="1" outlineLevel="1">
      <c r="B3221" s="384">
        <v>2026</v>
      </c>
      <c r="C3221" s="384">
        <v>6</v>
      </c>
      <c r="D3221" s="367" t="s">
        <v>5</v>
      </c>
      <c r="E3221" s="367" t="s">
        <v>6</v>
      </c>
      <c r="F3221" s="389" t="s">
        <v>5183</v>
      </c>
      <c r="G3221" s="385">
        <v>46015</v>
      </c>
      <c r="H3221" s="367" t="s">
        <v>12</v>
      </c>
      <c r="I3221" s="368" t="str">
        <f>VLOOKUP(H3221,'Source Codes'!A$2:B$115,2,FALSE)</f>
        <v>AR Direct Cash Journal</v>
      </c>
      <c r="J3221" s="412">
        <v>4962387.2300000004</v>
      </c>
      <c r="K3221" s="385">
        <v>46020</v>
      </c>
      <c r="L3221" s="369" t="s">
        <v>5194</v>
      </c>
      <c r="M3221" s="390">
        <v>46020.75203703704</v>
      </c>
      <c r="N3221" s="366" t="s">
        <v>356</v>
      </c>
      <c r="O3221" s="367" t="s">
        <v>370</v>
      </c>
      <c r="P3221" s="368" t="str">
        <f t="shared" si="100"/>
        <v>Revenue</v>
      </c>
      <c r="Q3221" s="366" t="s">
        <v>2264</v>
      </c>
      <c r="R3221" s="366" t="s">
        <v>2264</v>
      </c>
      <c r="S3221" s="366" t="s">
        <v>5195</v>
      </c>
    </row>
    <row r="3222" spans="1:19" ht="45" hidden="1" outlineLevel="1">
      <c r="B3222" s="384">
        <v>2026</v>
      </c>
      <c r="C3222" s="384">
        <v>6</v>
      </c>
      <c r="D3222" s="367" t="s">
        <v>5</v>
      </c>
      <c r="E3222" s="367" t="s">
        <v>6</v>
      </c>
      <c r="F3222" s="389" t="s">
        <v>5184</v>
      </c>
      <c r="G3222" s="385">
        <v>46010</v>
      </c>
      <c r="H3222" s="367" t="s">
        <v>12</v>
      </c>
      <c r="I3222" s="368" t="str">
        <f>VLOOKUP(H3222,'Source Codes'!A$2:B$115,2,FALSE)</f>
        <v>AR Direct Cash Journal</v>
      </c>
      <c r="J3222" s="412">
        <v>11083352.890000001</v>
      </c>
      <c r="K3222" s="385">
        <v>46020</v>
      </c>
      <c r="L3222" s="369" t="s">
        <v>5196</v>
      </c>
      <c r="M3222" s="390">
        <v>46020.75203703704</v>
      </c>
      <c r="N3222" s="366" t="s">
        <v>356</v>
      </c>
      <c r="O3222" s="367" t="s">
        <v>368</v>
      </c>
      <c r="P3222" s="368" t="str">
        <f t="shared" si="100"/>
        <v>Revenue</v>
      </c>
      <c r="Q3222" s="366" t="s">
        <v>2177</v>
      </c>
      <c r="R3222" s="366" t="s">
        <v>2214</v>
      </c>
      <c r="S3222" s="366" t="s">
        <v>5197</v>
      </c>
    </row>
    <row r="3223" spans="1:19" ht="30" hidden="1" outlineLevel="1">
      <c r="B3223" s="384">
        <v>2026</v>
      </c>
      <c r="C3223" s="384">
        <v>6</v>
      </c>
      <c r="D3223" s="367" t="s">
        <v>5</v>
      </c>
      <c r="E3223" s="367" t="s">
        <v>6</v>
      </c>
      <c r="F3223" s="389" t="s">
        <v>5185</v>
      </c>
      <c r="G3223" s="385">
        <v>46002</v>
      </c>
      <c r="H3223" s="367" t="s">
        <v>8</v>
      </c>
      <c r="I3223" s="368" t="str">
        <f>VLOOKUP(H3223,'Source Codes'!A$2:B$115,2,FALSE)</f>
        <v>Prch,Cntrl Mail,Flt,Prntg,Sply</v>
      </c>
      <c r="J3223" s="412">
        <v>-2376869.42</v>
      </c>
      <c r="K3223" s="385">
        <v>46020</v>
      </c>
      <c r="L3223" s="369" t="s">
        <v>5188</v>
      </c>
      <c r="M3223" s="390">
        <v>46020.432118055556</v>
      </c>
      <c r="N3223" s="368" t="s">
        <v>359</v>
      </c>
      <c r="O3223" s="367" t="s">
        <v>382</v>
      </c>
      <c r="P3223" s="368" t="str">
        <f t="shared" si="100"/>
        <v>Expense</v>
      </c>
      <c r="Q3223" s="366" t="s">
        <v>2328</v>
      </c>
      <c r="R3223" s="366" t="s">
        <v>5198</v>
      </c>
      <c r="S3223" s="366" t="s">
        <v>2535</v>
      </c>
    </row>
    <row r="3224" spans="1:19" ht="15" hidden="1" outlineLevel="1">
      <c r="B3224" s="384">
        <v>2026</v>
      </c>
      <c r="C3224" s="384">
        <v>6</v>
      </c>
      <c r="D3224" s="367" t="s">
        <v>5</v>
      </c>
      <c r="E3224" s="367" t="s">
        <v>6</v>
      </c>
      <c r="F3224" s="389" t="s">
        <v>5186</v>
      </c>
      <c r="G3224" s="385">
        <v>46015</v>
      </c>
      <c r="H3224" s="367" t="s">
        <v>7</v>
      </c>
      <c r="I3224" s="368" t="str">
        <f>VLOOKUP(H3224,'Source Codes'!A$2:B$115,2,FALSE)</f>
        <v>HRMS Interface Journals</v>
      </c>
      <c r="J3224" s="412">
        <v>-2379753.16</v>
      </c>
      <c r="K3224" s="385">
        <v>46020</v>
      </c>
      <c r="L3224" s="369" t="s">
        <v>409</v>
      </c>
      <c r="M3224" s="390">
        <v>46020.345243055555</v>
      </c>
      <c r="N3224" s="366" t="s">
        <v>378</v>
      </c>
      <c r="O3224" s="367" t="s">
        <v>379</v>
      </c>
      <c r="P3224" s="368" t="str">
        <f t="shared" si="100"/>
        <v>Expense</v>
      </c>
      <c r="Q3224" s="366" t="s">
        <v>379</v>
      </c>
      <c r="R3224" s="366" t="s">
        <v>5199</v>
      </c>
      <c r="S3224" s="366">
        <v>513120</v>
      </c>
    </row>
    <row r="3225" spans="1:19" ht="15" hidden="1" outlineLevel="1">
      <c r="B3225" s="384">
        <v>2026</v>
      </c>
      <c r="C3225" s="384">
        <v>6</v>
      </c>
      <c r="D3225" s="367" t="s">
        <v>5</v>
      </c>
      <c r="E3225" s="367" t="s">
        <v>6</v>
      </c>
      <c r="F3225" s="389" t="s">
        <v>5187</v>
      </c>
      <c r="G3225" s="385">
        <v>46015</v>
      </c>
      <c r="H3225" s="367" t="s">
        <v>7</v>
      </c>
      <c r="I3225" s="368" t="str">
        <f>VLOOKUP(H3225,'Source Codes'!A$2:B$115,2,FALSE)</f>
        <v>HRMS Interface Journals</v>
      </c>
      <c r="J3225" s="412">
        <v>-10274049.77</v>
      </c>
      <c r="K3225" s="385">
        <v>46020</v>
      </c>
      <c r="L3225" s="369" t="s">
        <v>407</v>
      </c>
      <c r="M3225" s="390">
        <v>46020.3434375</v>
      </c>
      <c r="N3225" s="366" t="s">
        <v>378</v>
      </c>
      <c r="O3225" s="367" t="s">
        <v>379</v>
      </c>
      <c r="P3225" s="368" t="str">
        <f t="shared" si="100"/>
        <v>Expense</v>
      </c>
      <c r="Q3225" s="366" t="s">
        <v>379</v>
      </c>
      <c r="R3225" s="366" t="s">
        <v>5199</v>
      </c>
      <c r="S3225" s="366" t="s">
        <v>203</v>
      </c>
    </row>
    <row r="3226" spans="1:19" ht="15" collapsed="1">
      <c r="J3226" s="413">
        <f>SUM(J3215:J3225)</f>
        <v>816844.01000000164</v>
      </c>
    </row>
    <row r="3228" spans="1:19" ht="12.75" customHeight="1">
      <c r="A3228" s="378" t="s">
        <v>5203</v>
      </c>
    </row>
    <row r="3229" spans="1:19" ht="30" hidden="1" outlineLevel="1">
      <c r="B3229" s="384">
        <v>2026</v>
      </c>
      <c r="C3229" s="384">
        <v>7</v>
      </c>
      <c r="D3229" s="367" t="s">
        <v>5</v>
      </c>
      <c r="E3229" s="367" t="s">
        <v>6</v>
      </c>
      <c r="F3229" s="389" t="s">
        <v>5204</v>
      </c>
      <c r="G3229" s="385">
        <v>46024</v>
      </c>
      <c r="H3229" s="367" t="s">
        <v>14</v>
      </c>
      <c r="I3229" s="368" t="str">
        <f>VLOOKUP(H3229,'Source Codes'!A$2:B$115,2,FALSE)</f>
        <v>AP Warrant Issuance</v>
      </c>
      <c r="J3229" s="412">
        <v>-2882710.29</v>
      </c>
      <c r="K3229" s="385">
        <v>46021</v>
      </c>
      <c r="L3229" s="369" t="s">
        <v>5219</v>
      </c>
      <c r="M3229" s="390">
        <v>46021.758101851854</v>
      </c>
      <c r="N3229" s="368" t="s">
        <v>359</v>
      </c>
      <c r="O3229" s="367" t="s">
        <v>368</v>
      </c>
      <c r="P3229" s="368" t="str">
        <f t="shared" ref="P3229:P3237" si="101">IF(J3229&gt;0,"Revenue",IF(J3229&lt;0,"Expense"))</f>
        <v>Expense</v>
      </c>
      <c r="Q3229" s="366" t="s">
        <v>2154</v>
      </c>
      <c r="R3229" s="365" t="s">
        <v>2154</v>
      </c>
      <c r="S3229" s="366" t="s">
        <v>203</v>
      </c>
    </row>
    <row r="3230" spans="1:19" ht="45" hidden="1" outlineLevel="1">
      <c r="B3230" s="384">
        <v>2026</v>
      </c>
      <c r="C3230" s="384">
        <v>6</v>
      </c>
      <c r="D3230" s="367" t="s">
        <v>5</v>
      </c>
      <c r="E3230" s="367" t="s">
        <v>6</v>
      </c>
      <c r="F3230" s="389" t="s">
        <v>5205</v>
      </c>
      <c r="G3230" s="385">
        <v>46015</v>
      </c>
      <c r="H3230" s="367" t="s">
        <v>12</v>
      </c>
      <c r="I3230" s="368" t="str">
        <f>VLOOKUP(H3230,'Source Codes'!A$2:B$115,2,FALSE)</f>
        <v>AR Direct Cash Journal</v>
      </c>
      <c r="J3230" s="412">
        <v>2780158.63</v>
      </c>
      <c r="K3230" s="385">
        <v>46021</v>
      </c>
      <c r="L3230" s="369" t="s">
        <v>5220</v>
      </c>
      <c r="M3230" s="390">
        <v>46021.752164351848</v>
      </c>
      <c r="N3230" s="366" t="s">
        <v>356</v>
      </c>
      <c r="O3230" s="367" t="s">
        <v>368</v>
      </c>
      <c r="P3230" s="368" t="str">
        <f t="shared" si="101"/>
        <v>Revenue</v>
      </c>
      <c r="Q3230" s="366" t="s">
        <v>2177</v>
      </c>
      <c r="R3230" s="366" t="s">
        <v>2214</v>
      </c>
      <c r="S3230" s="366" t="s">
        <v>5222</v>
      </c>
    </row>
    <row r="3231" spans="1:19" ht="30" hidden="1" outlineLevel="1">
      <c r="B3231" s="384">
        <v>2026</v>
      </c>
      <c r="C3231" s="384">
        <v>6</v>
      </c>
      <c r="D3231" s="367" t="s">
        <v>5</v>
      </c>
      <c r="E3231" s="367" t="s">
        <v>6</v>
      </c>
      <c r="F3231" s="389" t="s">
        <v>5206</v>
      </c>
      <c r="G3231" s="385">
        <v>46017</v>
      </c>
      <c r="H3231" s="367" t="s">
        <v>9</v>
      </c>
      <c r="I3231" s="368" t="str">
        <f>VLOOKUP(H3231,'Source Codes'!A$2:B$115,2,FALSE)</f>
        <v>On Line Journal Entries</v>
      </c>
      <c r="J3231" s="412">
        <v>23465067.07</v>
      </c>
      <c r="K3231" s="385">
        <v>46021</v>
      </c>
      <c r="L3231" s="369" t="s">
        <v>5212</v>
      </c>
      <c r="M3231" s="390">
        <v>46021.869525462964</v>
      </c>
      <c r="N3231" s="366" t="s">
        <v>359</v>
      </c>
      <c r="O3231" s="367" t="s">
        <v>371</v>
      </c>
      <c r="P3231" s="368" t="str">
        <f t="shared" si="101"/>
        <v>Revenue</v>
      </c>
      <c r="Q3231" s="366" t="s">
        <v>2158</v>
      </c>
      <c r="R3231" s="366" t="s">
        <v>5221</v>
      </c>
      <c r="S3231" s="366">
        <v>755120</v>
      </c>
    </row>
    <row r="3232" spans="1:19" ht="45" hidden="1" outlineLevel="1">
      <c r="B3232" s="384">
        <v>2026</v>
      </c>
      <c r="C3232" s="384">
        <v>6</v>
      </c>
      <c r="D3232" s="367" t="s">
        <v>5</v>
      </c>
      <c r="E3232" s="367" t="s">
        <v>6</v>
      </c>
      <c r="F3232" s="389" t="s">
        <v>5207</v>
      </c>
      <c r="G3232" s="385">
        <v>46017</v>
      </c>
      <c r="H3232" s="367" t="s">
        <v>9</v>
      </c>
      <c r="I3232" s="368" t="str">
        <f>VLOOKUP(H3232,'Source Codes'!A$2:B$115,2,FALSE)</f>
        <v>On Line Journal Entries</v>
      </c>
      <c r="J3232" s="412">
        <v>10482059.890000001</v>
      </c>
      <c r="K3232" s="385">
        <v>46021</v>
      </c>
      <c r="L3232" s="369" t="s">
        <v>5213</v>
      </c>
      <c r="M3232" s="390">
        <v>46021.869525462964</v>
      </c>
      <c r="N3232" s="366" t="s">
        <v>359</v>
      </c>
      <c r="O3232" s="367" t="s">
        <v>371</v>
      </c>
      <c r="P3232" s="368" t="str">
        <f t="shared" si="101"/>
        <v>Revenue</v>
      </c>
      <c r="Q3232" s="366" t="s">
        <v>2427</v>
      </c>
      <c r="R3232" s="366" t="s">
        <v>5223</v>
      </c>
      <c r="S3232" s="366" t="s">
        <v>2160</v>
      </c>
    </row>
    <row r="3233" spans="1:19" ht="30" hidden="1" outlineLevel="1">
      <c r="B3233" s="384">
        <v>2026</v>
      </c>
      <c r="C3233" s="384">
        <v>6</v>
      </c>
      <c r="D3233" s="367" t="s">
        <v>5</v>
      </c>
      <c r="E3233" s="367" t="s">
        <v>6</v>
      </c>
      <c r="F3233" s="389" t="s">
        <v>5208</v>
      </c>
      <c r="G3233" s="385">
        <v>46020</v>
      </c>
      <c r="H3233" s="367" t="s">
        <v>16</v>
      </c>
      <c r="I3233" s="368" t="str">
        <f>VLOOKUP(H3233,'Source Codes'!A$2:B$115,2,FALSE)</f>
        <v>Property Tax Interface</v>
      </c>
      <c r="J3233" s="412">
        <v>4605253.96</v>
      </c>
      <c r="K3233" s="385">
        <v>46021</v>
      </c>
      <c r="L3233" s="369" t="s">
        <v>5214</v>
      </c>
      <c r="M3233" s="390">
        <v>46021.485243055555</v>
      </c>
      <c r="N3233" s="368" t="s">
        <v>2185</v>
      </c>
      <c r="O3233" s="368" t="s">
        <v>384</v>
      </c>
      <c r="P3233" s="368" t="str">
        <f t="shared" si="101"/>
        <v>Revenue</v>
      </c>
      <c r="Q3233" s="366" t="s">
        <v>2946</v>
      </c>
      <c r="R3233" s="365" t="s">
        <v>5224</v>
      </c>
      <c r="S3233" s="366" t="s">
        <v>2948</v>
      </c>
    </row>
    <row r="3234" spans="1:19" ht="60" hidden="1" outlineLevel="1">
      <c r="B3234" s="384">
        <v>2026</v>
      </c>
      <c r="C3234" s="384">
        <v>6</v>
      </c>
      <c r="D3234" s="367" t="s">
        <v>5</v>
      </c>
      <c r="E3234" s="367" t="s">
        <v>6</v>
      </c>
      <c r="F3234" s="389" t="s">
        <v>5209</v>
      </c>
      <c r="G3234" s="385">
        <v>46017</v>
      </c>
      <c r="H3234" s="367" t="s">
        <v>9</v>
      </c>
      <c r="I3234" s="368" t="str">
        <f>VLOOKUP(H3234,'Source Codes'!A$2:B$115,2,FALSE)</f>
        <v>On Line Journal Entries</v>
      </c>
      <c r="J3234" s="412">
        <v>3348859.09</v>
      </c>
      <c r="K3234" s="385">
        <v>46021</v>
      </c>
      <c r="L3234" s="369" t="s">
        <v>5215</v>
      </c>
      <c r="M3234" s="390">
        <v>46021.869525462964</v>
      </c>
      <c r="N3234" s="366" t="s">
        <v>359</v>
      </c>
      <c r="O3234" s="367" t="s">
        <v>371</v>
      </c>
      <c r="P3234" s="368" t="str">
        <f t="shared" si="101"/>
        <v>Revenue</v>
      </c>
      <c r="Q3234" s="366" t="s">
        <v>3577</v>
      </c>
      <c r="R3234" s="366" t="s">
        <v>5191</v>
      </c>
      <c r="S3234" s="366">
        <v>750900</v>
      </c>
    </row>
    <row r="3235" spans="1:19" ht="30" hidden="1" outlineLevel="1">
      <c r="B3235" s="384">
        <v>2026</v>
      </c>
      <c r="C3235" s="384">
        <v>6</v>
      </c>
      <c r="D3235" s="367" t="s">
        <v>5</v>
      </c>
      <c r="E3235" s="367" t="s">
        <v>6</v>
      </c>
      <c r="F3235" s="389" t="s">
        <v>5210</v>
      </c>
      <c r="G3235" s="385">
        <v>46022</v>
      </c>
      <c r="H3235" s="367" t="s">
        <v>9</v>
      </c>
      <c r="I3235" s="368" t="str">
        <f>VLOOKUP(H3235,'Source Codes'!A$2:B$115,2,FALSE)</f>
        <v>On Line Journal Entries</v>
      </c>
      <c r="J3235" s="412">
        <v>2130106</v>
      </c>
      <c r="K3235" s="385">
        <v>46021</v>
      </c>
      <c r="L3235" s="369" t="s">
        <v>5216</v>
      </c>
      <c r="M3235" s="390">
        <v>46021.869525462964</v>
      </c>
      <c r="N3235" s="366" t="s">
        <v>361</v>
      </c>
      <c r="O3235" s="367" t="s">
        <v>380</v>
      </c>
      <c r="P3235" s="368" t="str">
        <f t="shared" si="101"/>
        <v>Revenue</v>
      </c>
      <c r="Q3235" s="366" t="s">
        <v>3075</v>
      </c>
      <c r="R3235" s="366" t="s">
        <v>5225</v>
      </c>
      <c r="S3235" s="366">
        <v>777470</v>
      </c>
    </row>
    <row r="3236" spans="1:19" ht="15" hidden="1" outlineLevel="1">
      <c r="B3236" s="384">
        <v>2026</v>
      </c>
      <c r="C3236" s="384">
        <v>6</v>
      </c>
      <c r="D3236" s="367" t="s">
        <v>5</v>
      </c>
      <c r="E3236" s="367" t="s">
        <v>6</v>
      </c>
      <c r="F3236" s="389" t="s">
        <v>5211</v>
      </c>
      <c r="G3236" s="385">
        <v>46017</v>
      </c>
      <c r="H3236" s="367" t="s">
        <v>9</v>
      </c>
      <c r="I3236" s="368" t="str">
        <f>VLOOKUP(H3236,'Source Codes'!A$2:B$115,2,FALSE)</f>
        <v>On Line Journal Entries</v>
      </c>
      <c r="J3236" s="412">
        <v>1666367.01</v>
      </c>
      <c r="K3236" s="385">
        <v>46021</v>
      </c>
      <c r="L3236" s="369" t="s">
        <v>5217</v>
      </c>
      <c r="M3236" s="390">
        <v>46021.869525462964</v>
      </c>
      <c r="N3236" s="366" t="s">
        <v>359</v>
      </c>
      <c r="O3236" s="367" t="s">
        <v>371</v>
      </c>
      <c r="P3236" s="368" t="str">
        <f t="shared" si="101"/>
        <v>Revenue</v>
      </c>
      <c r="Q3236" s="366" t="s">
        <v>2164</v>
      </c>
      <c r="R3236" s="394" t="s">
        <v>5466</v>
      </c>
      <c r="S3236" s="366">
        <v>755909</v>
      </c>
    </row>
    <row r="3237" spans="1:19" ht="15" hidden="1" outlineLevel="1">
      <c r="B3237" s="384">
        <v>2026</v>
      </c>
      <c r="C3237" s="384">
        <v>6</v>
      </c>
      <c r="D3237" s="367" t="s">
        <v>5</v>
      </c>
      <c r="E3237" s="367" t="s">
        <v>6</v>
      </c>
      <c r="F3237" s="389" t="s">
        <v>5218</v>
      </c>
      <c r="G3237" s="385">
        <v>46015</v>
      </c>
      <c r="H3237" s="367" t="s">
        <v>7</v>
      </c>
      <c r="I3237" s="368" t="str">
        <f>VLOOKUP(H3237,'Source Codes'!A$2:B$115,2,FALSE)</f>
        <v>HRMS Interface Journals</v>
      </c>
      <c r="J3237" s="412">
        <v>-76639778.090000004</v>
      </c>
      <c r="K3237" s="385">
        <v>46021</v>
      </c>
      <c r="L3237" s="369" t="s">
        <v>406</v>
      </c>
      <c r="M3237" s="390">
        <v>46021.307824074072</v>
      </c>
      <c r="N3237" s="366" t="s">
        <v>378</v>
      </c>
      <c r="O3237" s="367" t="s">
        <v>371</v>
      </c>
      <c r="P3237" s="368" t="str">
        <f t="shared" si="101"/>
        <v>Expense</v>
      </c>
      <c r="Q3237" s="366" t="s">
        <v>379</v>
      </c>
      <c r="R3237" s="366" t="s">
        <v>5199</v>
      </c>
      <c r="S3237" s="366" t="s">
        <v>5226</v>
      </c>
    </row>
    <row r="3238" spans="1:19" ht="12.75" customHeight="1" collapsed="1">
      <c r="J3238" s="413">
        <f>SUM(J3229:J3237)</f>
        <v>-31044616.730000012</v>
      </c>
    </row>
    <row r="3240" spans="1:19" ht="12.75" customHeight="1">
      <c r="A3240" s="378" t="s">
        <v>5227</v>
      </c>
    </row>
    <row r="3241" spans="1:19" ht="30" hidden="1" outlineLevel="1">
      <c r="B3241" s="384">
        <v>2026</v>
      </c>
      <c r="C3241" s="384">
        <v>6</v>
      </c>
      <c r="D3241" s="367" t="s">
        <v>5</v>
      </c>
      <c r="E3241" s="367" t="s">
        <v>6</v>
      </c>
      <c r="F3241" s="389" t="s">
        <v>5228</v>
      </c>
      <c r="G3241" s="385">
        <v>46022</v>
      </c>
      <c r="H3241" s="367" t="s">
        <v>14</v>
      </c>
      <c r="I3241" s="368" t="str">
        <f>VLOOKUP(H3241,'Source Codes'!A$2:B$115,2,FALSE)</f>
        <v>AP Warrant Issuance</v>
      </c>
      <c r="J3241" s="412">
        <v>-1341183.05</v>
      </c>
      <c r="K3241" s="385">
        <v>46022</v>
      </c>
      <c r="L3241" s="369" t="s">
        <v>5234</v>
      </c>
      <c r="M3241" s="390">
        <v>46022.758043981485</v>
      </c>
      <c r="N3241" s="366" t="s">
        <v>356</v>
      </c>
      <c r="O3241" s="367" t="s">
        <v>357</v>
      </c>
      <c r="P3241" s="368" t="str">
        <f t="shared" ref="P3241:P3245" si="102">IF(J3241&gt;0,"Revenue",IF(J3241&lt;0,"Expense"))</f>
        <v>Expense</v>
      </c>
      <c r="Q3241" s="366" t="s">
        <v>2309</v>
      </c>
      <c r="R3241" s="393" t="s">
        <v>2310</v>
      </c>
      <c r="S3241" s="366" t="s">
        <v>203</v>
      </c>
    </row>
    <row r="3242" spans="1:19" ht="70.349999999999994" hidden="1" customHeight="1" outlineLevel="1">
      <c r="B3242" s="384">
        <v>2026</v>
      </c>
      <c r="C3242" s="384">
        <v>6</v>
      </c>
      <c r="D3242" s="367" t="s">
        <v>5</v>
      </c>
      <c r="E3242" s="367" t="s">
        <v>6</v>
      </c>
      <c r="F3242" s="389" t="s">
        <v>5229</v>
      </c>
      <c r="G3242" s="385">
        <v>46020</v>
      </c>
      <c r="H3242" s="367" t="s">
        <v>12</v>
      </c>
      <c r="I3242" s="368" t="str">
        <f>VLOOKUP(H3242,'Source Codes'!A$2:B$115,2,FALSE)</f>
        <v>AR Direct Cash Journal</v>
      </c>
      <c r="J3242" s="412">
        <v>3757974.97</v>
      </c>
      <c r="K3242" s="385">
        <v>46022</v>
      </c>
      <c r="L3242" s="369" t="s">
        <v>5235</v>
      </c>
      <c r="M3242" s="390">
        <v>46022.752199074072</v>
      </c>
      <c r="N3242" s="366" t="s">
        <v>356</v>
      </c>
      <c r="O3242" s="367" t="s">
        <v>370</v>
      </c>
      <c r="P3242" s="368" t="str">
        <f t="shared" si="102"/>
        <v>Revenue</v>
      </c>
      <c r="Q3242" s="366" t="s">
        <v>2264</v>
      </c>
      <c r="R3242" s="393" t="s">
        <v>2264</v>
      </c>
      <c r="S3242" s="366" t="s">
        <v>5236</v>
      </c>
    </row>
    <row r="3243" spans="1:19" ht="45" hidden="1" outlineLevel="1">
      <c r="B3243" s="384">
        <v>2026</v>
      </c>
      <c r="C3243" s="384">
        <v>6</v>
      </c>
      <c r="D3243" s="367" t="s">
        <v>5</v>
      </c>
      <c r="E3243" s="367" t="s">
        <v>6</v>
      </c>
      <c r="F3243" s="389" t="s">
        <v>5230</v>
      </c>
      <c r="G3243" s="385">
        <v>46021</v>
      </c>
      <c r="H3243" s="367" t="s">
        <v>12</v>
      </c>
      <c r="I3243" s="368" t="str">
        <f>VLOOKUP(H3243,'Source Codes'!A$2:B$115,2,FALSE)</f>
        <v>AR Direct Cash Journal</v>
      </c>
      <c r="J3243" s="412">
        <v>5670899.9699999997</v>
      </c>
      <c r="K3243" s="385">
        <v>46022</v>
      </c>
      <c r="L3243" s="369" t="s">
        <v>5237</v>
      </c>
      <c r="M3243" s="390">
        <v>46022.752199074072</v>
      </c>
      <c r="N3243" s="366" t="s">
        <v>356</v>
      </c>
      <c r="O3243" s="367" t="s">
        <v>368</v>
      </c>
      <c r="P3243" s="368" t="str">
        <f t="shared" si="102"/>
        <v>Revenue</v>
      </c>
      <c r="Q3243" s="366" t="s">
        <v>2177</v>
      </c>
      <c r="R3243" s="393" t="s">
        <v>2214</v>
      </c>
      <c r="S3243" s="366" t="s">
        <v>5238</v>
      </c>
    </row>
    <row r="3244" spans="1:19" ht="32.1" hidden="1" customHeight="1" outlineLevel="1">
      <c r="B3244" s="384">
        <v>2026</v>
      </c>
      <c r="C3244" s="384">
        <v>6</v>
      </c>
      <c r="D3244" s="367" t="s">
        <v>5</v>
      </c>
      <c r="E3244" s="367" t="s">
        <v>6</v>
      </c>
      <c r="F3244" s="389" t="s">
        <v>5231</v>
      </c>
      <c r="G3244" s="385">
        <v>46015</v>
      </c>
      <c r="H3244" s="367" t="s">
        <v>12</v>
      </c>
      <c r="I3244" s="368" t="str">
        <f>VLOOKUP(H3244,'Source Codes'!A$2:B$115,2,FALSE)</f>
        <v>AR Direct Cash Journal</v>
      </c>
      <c r="J3244" s="412">
        <v>28891901.84</v>
      </c>
      <c r="K3244" s="385">
        <v>46022</v>
      </c>
      <c r="L3244" s="369" t="s">
        <v>5239</v>
      </c>
      <c r="M3244" s="390">
        <v>46022.752199074072</v>
      </c>
      <c r="N3244" s="366" t="s">
        <v>356</v>
      </c>
      <c r="O3244" s="367" t="s">
        <v>368</v>
      </c>
      <c r="P3244" s="368" t="str">
        <f t="shared" si="102"/>
        <v>Revenue</v>
      </c>
      <c r="Q3244" s="366" t="s">
        <v>2177</v>
      </c>
      <c r="R3244" s="393" t="s">
        <v>2214</v>
      </c>
      <c r="S3244" s="366" t="s">
        <v>4539</v>
      </c>
    </row>
    <row r="3245" spans="1:19" ht="30" hidden="1" outlineLevel="1">
      <c r="B3245" s="384">
        <v>2026</v>
      </c>
      <c r="C3245" s="384">
        <v>6</v>
      </c>
      <c r="D3245" s="367" t="s">
        <v>5</v>
      </c>
      <c r="E3245" s="367" t="s">
        <v>6</v>
      </c>
      <c r="F3245" s="389" t="s">
        <v>5232</v>
      </c>
      <c r="G3245" s="385">
        <v>46021</v>
      </c>
      <c r="H3245" s="367" t="s">
        <v>16</v>
      </c>
      <c r="I3245" s="368" t="str">
        <f>VLOOKUP(H3245,'Source Codes'!A$2:B$115,2,FALSE)</f>
        <v>Property Tax Interface</v>
      </c>
      <c r="J3245" s="412">
        <v>157353022.27000001</v>
      </c>
      <c r="K3245" s="385">
        <v>46022</v>
      </c>
      <c r="L3245" s="369" t="s">
        <v>5233</v>
      </c>
      <c r="M3245" s="390">
        <v>46022.597650462965</v>
      </c>
      <c r="N3245" s="366" t="s">
        <v>507</v>
      </c>
      <c r="O3245" s="367" t="s">
        <v>384</v>
      </c>
      <c r="P3245" s="368" t="str">
        <f t="shared" si="102"/>
        <v>Revenue</v>
      </c>
      <c r="Q3245" s="366" t="s">
        <v>2266</v>
      </c>
      <c r="R3245" s="393" t="s">
        <v>5088</v>
      </c>
      <c r="S3245" s="366" t="s">
        <v>2425</v>
      </c>
    </row>
    <row r="3246" spans="1:19" ht="15" collapsed="1">
      <c r="J3246" s="413">
        <f>SUM(J3241:J3245)</f>
        <v>194332616</v>
      </c>
      <c r="P3246" s="368"/>
    </row>
    <row r="3248" spans="1:19" ht="12.75" customHeight="1">
      <c r="A3248" s="378" t="s">
        <v>5240</v>
      </c>
    </row>
    <row r="3249" spans="1:19" ht="15" hidden="1" outlineLevel="1">
      <c r="B3249" s="384">
        <v>2026</v>
      </c>
      <c r="C3249" s="384">
        <v>7</v>
      </c>
      <c r="D3249" s="367" t="s">
        <v>5</v>
      </c>
      <c r="E3249" s="367" t="s">
        <v>6</v>
      </c>
      <c r="F3249" s="389" t="s">
        <v>5241</v>
      </c>
      <c r="G3249" s="385">
        <v>46023</v>
      </c>
      <c r="H3249" s="367" t="s">
        <v>13</v>
      </c>
      <c r="I3249" s="368" t="str">
        <f>VLOOKUP(H3249,'Source Codes'!A$2:B$115,2,FALSE)</f>
        <v>C-IV Voucher/Payments/EBT</v>
      </c>
      <c r="J3249" s="412">
        <v>-12072234.76</v>
      </c>
      <c r="K3249" s="385">
        <v>46027</v>
      </c>
      <c r="L3249" s="369" t="s">
        <v>5244</v>
      </c>
      <c r="M3249" s="390">
        <v>46027.870347222219</v>
      </c>
      <c r="N3249" s="366" t="s">
        <v>356</v>
      </c>
      <c r="O3249" s="367" t="s">
        <v>364</v>
      </c>
      <c r="P3249" s="368" t="str">
        <f t="shared" ref="P3249:P3251" si="103">IF(J3249&gt;0,"Revenue",IF(J3249&lt;0,"Expense"))</f>
        <v>Expense</v>
      </c>
      <c r="Q3249" s="366" t="s">
        <v>2204</v>
      </c>
      <c r="R3249" s="393">
        <v>45992</v>
      </c>
      <c r="S3249" s="366">
        <v>530480</v>
      </c>
    </row>
    <row r="3250" spans="1:19" ht="15" hidden="1" outlineLevel="1">
      <c r="B3250" s="384">
        <v>2026</v>
      </c>
      <c r="C3250" s="384">
        <v>7</v>
      </c>
      <c r="D3250" s="367" t="s">
        <v>5</v>
      </c>
      <c r="E3250" s="367" t="s">
        <v>6</v>
      </c>
      <c r="F3250" s="389" t="s">
        <v>5242</v>
      </c>
      <c r="G3250" s="385">
        <v>46023</v>
      </c>
      <c r="H3250" s="367" t="s">
        <v>13</v>
      </c>
      <c r="I3250" s="368" t="str">
        <f>VLOOKUP(H3250,'Source Codes'!A$2:B$115,2,FALSE)</f>
        <v>C-IV Voucher/Payments/EBT</v>
      </c>
      <c r="J3250" s="412">
        <v>-15763474.66</v>
      </c>
      <c r="K3250" s="385">
        <v>46027</v>
      </c>
      <c r="L3250" s="369" t="s">
        <v>5245</v>
      </c>
      <c r="M3250" s="390">
        <v>46027.870347222219</v>
      </c>
      <c r="N3250" s="366" t="s">
        <v>356</v>
      </c>
      <c r="O3250" s="367" t="s">
        <v>364</v>
      </c>
      <c r="P3250" s="368" t="str">
        <f t="shared" si="103"/>
        <v>Expense</v>
      </c>
      <c r="Q3250" s="366" t="s">
        <v>2204</v>
      </c>
      <c r="R3250" s="393">
        <v>45992</v>
      </c>
      <c r="S3250" s="366">
        <v>530480</v>
      </c>
    </row>
    <row r="3251" spans="1:19" ht="30" hidden="1" outlineLevel="1">
      <c r="B3251" s="384">
        <v>2026</v>
      </c>
      <c r="C3251" s="384">
        <v>6</v>
      </c>
      <c r="D3251" s="367" t="s">
        <v>5</v>
      </c>
      <c r="E3251" s="367" t="s">
        <v>6</v>
      </c>
      <c r="F3251" s="389" t="s">
        <v>5243</v>
      </c>
      <c r="G3251" s="385">
        <v>46022</v>
      </c>
      <c r="H3251" s="367" t="s">
        <v>9</v>
      </c>
      <c r="I3251" s="368" t="str">
        <f>VLOOKUP(H3251,'Source Codes'!A$2:B$115,2,FALSE)</f>
        <v>On Line Journal Entries</v>
      </c>
      <c r="J3251" s="412">
        <v>-17915660.07</v>
      </c>
      <c r="K3251" s="385">
        <v>46027</v>
      </c>
      <c r="L3251" s="369" t="s">
        <v>5246</v>
      </c>
      <c r="M3251" s="390">
        <v>46027.870312500003</v>
      </c>
      <c r="N3251" s="366" t="s">
        <v>507</v>
      </c>
      <c r="O3251" s="367" t="s">
        <v>384</v>
      </c>
      <c r="P3251" s="368" t="str">
        <f t="shared" si="103"/>
        <v>Expense</v>
      </c>
      <c r="Q3251" s="366" t="s">
        <v>2266</v>
      </c>
      <c r="R3251" s="393" t="s">
        <v>5247</v>
      </c>
      <c r="S3251" s="366">
        <v>781000</v>
      </c>
    </row>
    <row r="3252" spans="1:19" ht="15" collapsed="1">
      <c r="J3252" s="413">
        <f>SUM(J3249:J3251)</f>
        <v>-45751369.490000002</v>
      </c>
    </row>
    <row r="3254" spans="1:19" ht="12.75" customHeight="1">
      <c r="A3254" s="378" t="s">
        <v>5248</v>
      </c>
    </row>
    <row r="3255" spans="1:19" ht="30" hidden="1" outlineLevel="1">
      <c r="B3255" s="384">
        <v>2026</v>
      </c>
      <c r="C3255" s="384">
        <v>7</v>
      </c>
      <c r="D3255" s="367" t="s">
        <v>5</v>
      </c>
      <c r="E3255" s="367" t="s">
        <v>6</v>
      </c>
      <c r="F3255" s="389" t="s">
        <v>5249</v>
      </c>
      <c r="G3255" s="385">
        <v>46027</v>
      </c>
      <c r="H3255" s="367" t="s">
        <v>12</v>
      </c>
      <c r="I3255" s="368" t="str">
        <f>VLOOKUP(H3255,'Source Codes'!A$2:B$115,2,FALSE)</f>
        <v>AR Direct Cash Journal</v>
      </c>
      <c r="J3255" s="412">
        <v>1709097.84</v>
      </c>
      <c r="K3255" s="385">
        <v>46028</v>
      </c>
      <c r="L3255" s="369" t="s">
        <v>5160</v>
      </c>
      <c r="M3255" s="390">
        <v>46028.752210648148</v>
      </c>
      <c r="N3255" s="366" t="s">
        <v>356</v>
      </c>
      <c r="O3255" s="367" t="s">
        <v>370</v>
      </c>
      <c r="P3255" s="368" t="str">
        <f t="shared" ref="P3255" si="104">IF(J3255&gt;0,"Revenue",IF(J3255&lt;0,"Expense"))</f>
        <v>Revenue</v>
      </c>
      <c r="Q3255" s="366" t="s">
        <v>2264</v>
      </c>
      <c r="R3255" s="393" t="s">
        <v>2264</v>
      </c>
      <c r="S3255" s="366" t="s">
        <v>5250</v>
      </c>
    </row>
    <row r="3256" spans="1:19" ht="15" collapsed="1">
      <c r="J3256" s="413">
        <f>SUM(J3255)</f>
        <v>1709097.84</v>
      </c>
    </row>
    <row r="3258" spans="1:19" ht="12.75" customHeight="1">
      <c r="A3258" s="378" t="s">
        <v>5251</v>
      </c>
    </row>
    <row r="3259" spans="1:19" ht="30" hidden="1" outlineLevel="1">
      <c r="B3259" s="384">
        <v>2026</v>
      </c>
      <c r="C3259" s="384">
        <v>7</v>
      </c>
      <c r="D3259" s="367" t="s">
        <v>5</v>
      </c>
      <c r="E3259" s="367" t="s">
        <v>6</v>
      </c>
      <c r="F3259" s="389" t="s">
        <v>5252</v>
      </c>
      <c r="G3259" s="385">
        <v>46031</v>
      </c>
      <c r="H3259" s="367" t="s">
        <v>14</v>
      </c>
      <c r="I3259" s="368" t="str">
        <f>VLOOKUP(H3259,'Source Codes'!A$2:B$115,2,FALSE)</f>
        <v>AP Warrant Issuance</v>
      </c>
      <c r="J3259" s="412">
        <v>-1365124.59</v>
      </c>
      <c r="K3259" s="385">
        <v>46029</v>
      </c>
      <c r="L3259" s="369" t="s">
        <v>5259</v>
      </c>
      <c r="M3259" s="390">
        <v>46029.758946759262</v>
      </c>
      <c r="N3259" s="366" t="s">
        <v>359</v>
      </c>
      <c r="O3259" s="367" t="s">
        <v>368</v>
      </c>
      <c r="P3259" s="368" t="str">
        <f t="shared" ref="P3259:P3272" si="105">IF(J3259&gt;0,"Revenue",IF(J3259&lt;0,"Expense"))</f>
        <v>Expense</v>
      </c>
      <c r="Q3259" s="366" t="s">
        <v>2154</v>
      </c>
      <c r="R3259" s="393" t="s">
        <v>2154</v>
      </c>
      <c r="S3259" s="366" t="s">
        <v>203</v>
      </c>
    </row>
    <row r="3260" spans="1:19" ht="30" hidden="1" outlineLevel="1">
      <c r="B3260" s="384">
        <v>2026</v>
      </c>
      <c r="C3260" s="384">
        <v>7</v>
      </c>
      <c r="D3260" s="367" t="s">
        <v>5</v>
      </c>
      <c r="E3260" s="367" t="s">
        <v>6</v>
      </c>
      <c r="F3260" s="389" t="s">
        <v>5253</v>
      </c>
      <c r="G3260" s="385">
        <v>46029</v>
      </c>
      <c r="H3260" s="367" t="s">
        <v>14</v>
      </c>
      <c r="I3260" s="368" t="str">
        <f>VLOOKUP(H3260,'Source Codes'!A$2:B$115,2,FALSE)</f>
        <v>AP Warrant Issuance</v>
      </c>
      <c r="J3260" s="412">
        <v>-1291327.94</v>
      </c>
      <c r="K3260" s="385">
        <v>46029</v>
      </c>
      <c r="L3260" s="369" t="s">
        <v>5260</v>
      </c>
      <c r="M3260" s="390">
        <v>46029.758946759262</v>
      </c>
      <c r="N3260" s="366" t="s">
        <v>359</v>
      </c>
      <c r="O3260" s="367" t="s">
        <v>368</v>
      </c>
      <c r="P3260" s="368" t="str">
        <f t="shared" si="105"/>
        <v>Expense</v>
      </c>
      <c r="Q3260" s="366" t="s">
        <v>2154</v>
      </c>
      <c r="R3260" s="393" t="s">
        <v>2154</v>
      </c>
      <c r="S3260" s="366" t="s">
        <v>203</v>
      </c>
    </row>
    <row r="3261" spans="1:19" ht="30" hidden="1" outlineLevel="1">
      <c r="B3261" s="384">
        <v>2026</v>
      </c>
      <c r="C3261" s="384">
        <v>7</v>
      </c>
      <c r="D3261" s="367" t="s">
        <v>5</v>
      </c>
      <c r="E3261" s="367" t="s">
        <v>6</v>
      </c>
      <c r="F3261" s="389" t="s">
        <v>5254</v>
      </c>
      <c r="G3261" s="385">
        <v>46029</v>
      </c>
      <c r="H3261" s="367" t="s">
        <v>14</v>
      </c>
      <c r="I3261" s="368" t="str">
        <f>VLOOKUP(H3261,'Source Codes'!A$2:B$115,2,FALSE)</f>
        <v>AP Warrant Issuance</v>
      </c>
      <c r="J3261" s="412">
        <v>-1210434.1299999999</v>
      </c>
      <c r="K3261" s="385">
        <v>46029</v>
      </c>
      <c r="L3261" s="369" t="s">
        <v>5261</v>
      </c>
      <c r="M3261" s="390">
        <v>46029.758946759262</v>
      </c>
      <c r="N3261" s="366" t="s">
        <v>356</v>
      </c>
      <c r="O3261" s="367" t="s">
        <v>357</v>
      </c>
      <c r="P3261" s="368" t="str">
        <f t="shared" si="105"/>
        <v>Expense</v>
      </c>
      <c r="Q3261" s="366" t="s">
        <v>2309</v>
      </c>
      <c r="R3261" s="393" t="s">
        <v>2310</v>
      </c>
      <c r="S3261" s="366" t="s">
        <v>203</v>
      </c>
    </row>
    <row r="3262" spans="1:19" ht="15" hidden="1" outlineLevel="1">
      <c r="B3262" s="384">
        <v>2026</v>
      </c>
      <c r="C3262" s="384">
        <v>6</v>
      </c>
      <c r="D3262" s="367" t="s">
        <v>5</v>
      </c>
      <c r="E3262" s="367" t="s">
        <v>6</v>
      </c>
      <c r="F3262" s="389" t="s">
        <v>5255</v>
      </c>
      <c r="G3262" s="385">
        <v>46014</v>
      </c>
      <c r="H3262" s="367" t="s">
        <v>9</v>
      </c>
      <c r="I3262" s="368" t="str">
        <f>VLOOKUP(H3262,'Source Codes'!A$2:B$115,2,FALSE)</f>
        <v>On Line Journal Entries</v>
      </c>
      <c r="J3262" s="412">
        <v>9364303.3200000003</v>
      </c>
      <c r="K3262" s="385">
        <v>46029</v>
      </c>
      <c r="L3262" s="369" t="s">
        <v>5257</v>
      </c>
      <c r="M3262" s="390">
        <v>46029.708912037036</v>
      </c>
      <c r="N3262" s="366" t="s">
        <v>372</v>
      </c>
      <c r="O3262" s="367" t="s">
        <v>368</v>
      </c>
      <c r="P3262" s="368" t="str">
        <f t="shared" si="105"/>
        <v>Revenue</v>
      </c>
      <c r="Q3262" s="366" t="s">
        <v>2869</v>
      </c>
      <c r="R3262" s="393" t="s">
        <v>2326</v>
      </c>
      <c r="S3262" s="366">
        <v>755926</v>
      </c>
    </row>
    <row r="3263" spans="1:19" ht="15" hidden="1" outlineLevel="1">
      <c r="B3263" s="384">
        <v>2026</v>
      </c>
      <c r="C3263" s="384">
        <v>7</v>
      </c>
      <c r="D3263" s="367" t="s">
        <v>5</v>
      </c>
      <c r="E3263" s="367" t="s">
        <v>6</v>
      </c>
      <c r="F3263" s="389" t="s">
        <v>5256</v>
      </c>
      <c r="G3263" s="385">
        <v>46024</v>
      </c>
      <c r="H3263" s="367" t="s">
        <v>13</v>
      </c>
      <c r="I3263" s="368" t="str">
        <f>VLOOKUP(H3263,'Source Codes'!A$2:B$115,2,FALSE)</f>
        <v>C-IV Voucher/Payments/EBT</v>
      </c>
      <c r="J3263" s="412">
        <v>-9732337.0099999998</v>
      </c>
      <c r="K3263" s="385">
        <v>46029</v>
      </c>
      <c r="L3263" s="369" t="s">
        <v>5258</v>
      </c>
      <c r="M3263" s="390">
        <v>46029.870381944442</v>
      </c>
      <c r="N3263" s="366" t="s">
        <v>359</v>
      </c>
      <c r="O3263" s="367" t="s">
        <v>364</v>
      </c>
      <c r="P3263" s="368" t="str">
        <f t="shared" si="105"/>
        <v>Expense</v>
      </c>
      <c r="Q3263" s="366" t="s">
        <v>2204</v>
      </c>
      <c r="R3263" s="393">
        <v>46023</v>
      </c>
      <c r="S3263" s="366">
        <v>530480</v>
      </c>
    </row>
    <row r="3264" spans="1:19" ht="15" collapsed="1">
      <c r="I3264" s="368"/>
      <c r="J3264" s="413">
        <f>SUM(J3259:J3263)</f>
        <v>-4234920.3499999996</v>
      </c>
      <c r="P3264" s="368"/>
    </row>
    <row r="3265" spans="1:19" ht="12.75" customHeight="1">
      <c r="I3265" s="368"/>
      <c r="P3265" s="368"/>
    </row>
    <row r="3266" spans="1:19" ht="12.75" customHeight="1">
      <c r="A3266" s="378" t="s">
        <v>5262</v>
      </c>
      <c r="I3266" s="368"/>
      <c r="P3266" s="368"/>
    </row>
    <row r="3267" spans="1:19" ht="45" hidden="1" outlineLevel="1">
      <c r="B3267" s="384">
        <v>2026</v>
      </c>
      <c r="C3267" s="384">
        <v>7</v>
      </c>
      <c r="D3267" s="367" t="s">
        <v>5</v>
      </c>
      <c r="E3267" s="367" t="s">
        <v>6</v>
      </c>
      <c r="F3267" s="389" t="s">
        <v>5263</v>
      </c>
      <c r="G3267" s="385">
        <v>46030</v>
      </c>
      <c r="H3267" s="367" t="s">
        <v>14</v>
      </c>
      <c r="I3267" s="368" t="str">
        <f>VLOOKUP(H3267,'Source Codes'!A$2:B$115,2,FALSE)</f>
        <v>AP Warrant Issuance</v>
      </c>
      <c r="J3267" s="412">
        <v>-3262389.75</v>
      </c>
      <c r="K3267" s="385">
        <v>46030</v>
      </c>
      <c r="L3267" s="369" t="s">
        <v>5265</v>
      </c>
      <c r="M3267" s="390">
        <v>46030.758240740739</v>
      </c>
      <c r="N3267" s="366" t="s">
        <v>356</v>
      </c>
      <c r="O3267" s="367" t="s">
        <v>368</v>
      </c>
      <c r="P3267" s="368" t="str">
        <f t="shared" si="105"/>
        <v>Expense</v>
      </c>
      <c r="Q3267" s="366" t="s">
        <v>2154</v>
      </c>
      <c r="R3267" s="366" t="s">
        <v>2154</v>
      </c>
      <c r="S3267" s="366" t="s">
        <v>203</v>
      </c>
    </row>
    <row r="3268" spans="1:19" ht="30" hidden="1" outlineLevel="1">
      <c r="B3268" s="384">
        <v>2026</v>
      </c>
      <c r="C3268" s="384">
        <v>7</v>
      </c>
      <c r="D3268" s="367" t="s">
        <v>5</v>
      </c>
      <c r="E3268" s="367" t="s">
        <v>6</v>
      </c>
      <c r="F3268" s="389" t="s">
        <v>5264</v>
      </c>
      <c r="G3268" s="385">
        <v>46034</v>
      </c>
      <c r="H3268" s="367" t="s">
        <v>14</v>
      </c>
      <c r="I3268" s="368" t="str">
        <f>VLOOKUP(H3268,'Source Codes'!A$2:B$115,2,FALSE)</f>
        <v>AP Warrant Issuance</v>
      </c>
      <c r="J3268" s="412">
        <v>-2233583.2799999998</v>
      </c>
      <c r="K3268" s="385">
        <v>46030</v>
      </c>
      <c r="L3268" s="369" t="s">
        <v>5274</v>
      </c>
      <c r="M3268" s="390">
        <v>46030.758240740739</v>
      </c>
      <c r="N3268" s="366" t="s">
        <v>356</v>
      </c>
      <c r="O3268" s="367" t="s">
        <v>368</v>
      </c>
      <c r="P3268" s="368" t="str">
        <f t="shared" si="105"/>
        <v>Expense</v>
      </c>
      <c r="Q3268" s="366" t="s">
        <v>2154</v>
      </c>
      <c r="R3268" s="366" t="s">
        <v>2154</v>
      </c>
      <c r="S3268" s="366" t="s">
        <v>203</v>
      </c>
    </row>
    <row r="3269" spans="1:19" ht="45" hidden="1" outlineLevel="1">
      <c r="B3269" s="384">
        <v>2026</v>
      </c>
      <c r="C3269" s="384">
        <v>7</v>
      </c>
      <c r="D3269" s="367" t="s">
        <v>5</v>
      </c>
      <c r="E3269" s="367" t="s">
        <v>6</v>
      </c>
      <c r="F3269" s="389" t="s">
        <v>5266</v>
      </c>
      <c r="G3269" s="385">
        <v>46030</v>
      </c>
      <c r="H3269" s="367" t="s">
        <v>11</v>
      </c>
      <c r="I3269" s="368" t="str">
        <f>VLOOKUP(H3269,'Source Codes'!A$2:B$115,2,FALSE)</f>
        <v>AR Payments</v>
      </c>
      <c r="J3269" s="412">
        <v>9889376.2200000007</v>
      </c>
      <c r="K3269" s="385">
        <v>46030</v>
      </c>
      <c r="L3269" s="369" t="s">
        <v>5268</v>
      </c>
      <c r="M3269" s="390">
        <v>46030.752187500002</v>
      </c>
      <c r="N3269" s="366" t="s">
        <v>5267</v>
      </c>
      <c r="O3269" s="367" t="s">
        <v>357</v>
      </c>
      <c r="P3269" s="368" t="str">
        <f t="shared" si="105"/>
        <v>Revenue</v>
      </c>
      <c r="Q3269" s="366" t="s">
        <v>2157</v>
      </c>
      <c r="R3269" s="366" t="s">
        <v>2157</v>
      </c>
      <c r="S3269" s="366">
        <v>118501</v>
      </c>
    </row>
    <row r="3270" spans="1:19" ht="15" hidden="1" outlineLevel="1">
      <c r="B3270" s="384">
        <v>2026</v>
      </c>
      <c r="C3270" s="384">
        <v>7</v>
      </c>
      <c r="D3270" s="367" t="s">
        <v>5</v>
      </c>
      <c r="E3270" s="367" t="s">
        <v>6</v>
      </c>
      <c r="F3270" s="389" t="s">
        <v>5269</v>
      </c>
      <c r="G3270" s="385">
        <v>46029</v>
      </c>
      <c r="H3270" s="367" t="s">
        <v>7</v>
      </c>
      <c r="I3270" s="368" t="str">
        <f>VLOOKUP(H3270,'Source Codes'!A$2:B$115,2,FALSE)</f>
        <v>HRMS Interface Journals</v>
      </c>
      <c r="J3270" s="412">
        <v>-2629766.84</v>
      </c>
      <c r="K3270" s="385">
        <v>46030</v>
      </c>
      <c r="L3270" s="369" t="s">
        <v>409</v>
      </c>
      <c r="M3270" s="390">
        <v>46030.349560185183</v>
      </c>
      <c r="N3270" s="366" t="s">
        <v>378</v>
      </c>
      <c r="O3270" s="367" t="s">
        <v>379</v>
      </c>
      <c r="P3270" s="368" t="str">
        <f t="shared" si="105"/>
        <v>Expense</v>
      </c>
      <c r="Q3270" s="426" t="s">
        <v>379</v>
      </c>
      <c r="R3270" s="366" t="s">
        <v>5272</v>
      </c>
      <c r="S3270" s="366" t="s">
        <v>5273</v>
      </c>
    </row>
    <row r="3271" spans="1:19" ht="15" hidden="1" outlineLevel="1">
      <c r="B3271" s="384">
        <v>2026</v>
      </c>
      <c r="C3271" s="384">
        <v>7</v>
      </c>
      <c r="D3271" s="367" t="s">
        <v>5</v>
      </c>
      <c r="E3271" s="367" t="s">
        <v>6</v>
      </c>
      <c r="F3271" s="389" t="s">
        <v>5270</v>
      </c>
      <c r="G3271" s="385">
        <v>46029</v>
      </c>
      <c r="H3271" s="367" t="s">
        <v>7</v>
      </c>
      <c r="I3271" s="368" t="str">
        <f>VLOOKUP(H3271,'Source Codes'!A$2:B$115,2,FALSE)</f>
        <v>HRMS Interface Journals</v>
      </c>
      <c r="J3271" s="412">
        <v>-10177898.67</v>
      </c>
      <c r="K3271" s="385">
        <v>46030</v>
      </c>
      <c r="L3271" s="369" t="s">
        <v>407</v>
      </c>
      <c r="M3271" s="390">
        <v>46030.343946759262</v>
      </c>
      <c r="N3271" s="366" t="s">
        <v>378</v>
      </c>
      <c r="O3271" s="367" t="s">
        <v>379</v>
      </c>
      <c r="P3271" s="368" t="str">
        <f t="shared" si="105"/>
        <v>Expense</v>
      </c>
      <c r="Q3271" s="426" t="s">
        <v>379</v>
      </c>
      <c r="R3271" s="366" t="s">
        <v>5272</v>
      </c>
      <c r="S3271" s="366" t="s">
        <v>203</v>
      </c>
    </row>
    <row r="3272" spans="1:19" ht="15" hidden="1" outlineLevel="1">
      <c r="B3272" s="384">
        <v>2026</v>
      </c>
      <c r="C3272" s="384">
        <v>7</v>
      </c>
      <c r="D3272" s="367" t="s">
        <v>5</v>
      </c>
      <c r="E3272" s="367" t="s">
        <v>6</v>
      </c>
      <c r="F3272" s="389" t="s">
        <v>5271</v>
      </c>
      <c r="G3272" s="385">
        <v>46029</v>
      </c>
      <c r="H3272" s="367" t="s">
        <v>7</v>
      </c>
      <c r="I3272" s="368" t="str">
        <f>VLOOKUP(H3272,'Source Codes'!A$2:B$115,2,FALSE)</f>
        <v>HRMS Interface Journals</v>
      </c>
      <c r="J3272" s="412">
        <v>-74855969.519999996</v>
      </c>
      <c r="K3272" s="385">
        <v>46030</v>
      </c>
      <c r="L3272" s="369" t="s">
        <v>406</v>
      </c>
      <c r="M3272" s="390">
        <v>46030.347013888888</v>
      </c>
      <c r="N3272" s="366" t="s">
        <v>378</v>
      </c>
      <c r="O3272" s="367" t="s">
        <v>371</v>
      </c>
      <c r="P3272" s="368" t="str">
        <f t="shared" si="105"/>
        <v>Expense</v>
      </c>
      <c r="Q3272" s="426" t="s">
        <v>379</v>
      </c>
      <c r="R3272" s="366" t="s">
        <v>5272</v>
      </c>
      <c r="S3272" s="366" t="s">
        <v>203</v>
      </c>
    </row>
    <row r="3273" spans="1:19" ht="12.75" customHeight="1" collapsed="1">
      <c r="J3273" s="413">
        <f>SUM(J3267:J3272)</f>
        <v>-83270231.839999989</v>
      </c>
    </row>
    <row r="3275" spans="1:19" ht="12.75" customHeight="1">
      <c r="A3275" s="378" t="s">
        <v>5275</v>
      </c>
    </row>
    <row r="3276" spans="1:19" ht="30" hidden="1" outlineLevel="1">
      <c r="B3276" s="384">
        <v>2026</v>
      </c>
      <c r="C3276" s="384">
        <v>7</v>
      </c>
      <c r="D3276" s="367" t="s">
        <v>5</v>
      </c>
      <c r="E3276" s="367" t="s">
        <v>6</v>
      </c>
      <c r="F3276" s="389" t="s">
        <v>5276</v>
      </c>
      <c r="G3276" s="385">
        <v>46035</v>
      </c>
      <c r="H3276" s="367" t="s">
        <v>14</v>
      </c>
      <c r="I3276" s="368" t="str">
        <f>VLOOKUP(H3276,'Source Codes'!A$2:B$115,2,FALSE)</f>
        <v>AP Warrant Issuance</v>
      </c>
      <c r="J3276" s="412">
        <v>-2361363.41</v>
      </c>
      <c r="K3276" s="385">
        <v>46031</v>
      </c>
      <c r="L3276" s="369" t="s">
        <v>5278</v>
      </c>
      <c r="M3276" s="390">
        <v>46031.758032407408</v>
      </c>
      <c r="N3276" s="366" t="s">
        <v>356</v>
      </c>
      <c r="O3276" s="367" t="s">
        <v>368</v>
      </c>
      <c r="P3276" s="368" t="str">
        <f t="shared" ref="P3276:P3277" si="106">IF(J3276&gt;0,"Revenue",IF(J3276&lt;0,"Expense"))</f>
        <v>Expense</v>
      </c>
      <c r="Q3276" s="366" t="s">
        <v>2154</v>
      </c>
      <c r="R3276" s="366" t="s">
        <v>2154</v>
      </c>
      <c r="S3276" s="366" t="s">
        <v>203</v>
      </c>
    </row>
    <row r="3277" spans="1:19" ht="30" hidden="1" outlineLevel="1">
      <c r="B3277" s="384">
        <v>2026</v>
      </c>
      <c r="C3277" s="384">
        <v>7</v>
      </c>
      <c r="D3277" s="367" t="s">
        <v>5</v>
      </c>
      <c r="E3277" s="367" t="s">
        <v>6</v>
      </c>
      <c r="F3277" s="389" t="s">
        <v>5277</v>
      </c>
      <c r="G3277" s="385">
        <v>46031</v>
      </c>
      <c r="H3277" s="367" t="s">
        <v>14</v>
      </c>
      <c r="I3277" s="368" t="str">
        <f>VLOOKUP(H3277,'Source Codes'!A$2:B$115,2,FALSE)</f>
        <v>AP Warrant Issuance</v>
      </c>
      <c r="J3277" s="412">
        <v>-1288689.96</v>
      </c>
      <c r="K3277" s="385">
        <v>46031</v>
      </c>
      <c r="L3277" s="369" t="s">
        <v>5279</v>
      </c>
      <c r="M3277" s="390">
        <v>46031.758032407408</v>
      </c>
      <c r="N3277" s="366" t="s">
        <v>356</v>
      </c>
      <c r="O3277" s="367" t="s">
        <v>368</v>
      </c>
      <c r="P3277" s="368" t="str">
        <f t="shared" si="106"/>
        <v>Expense</v>
      </c>
      <c r="Q3277" s="366" t="s">
        <v>2154</v>
      </c>
      <c r="R3277" s="366" t="s">
        <v>2154</v>
      </c>
      <c r="S3277" s="366" t="s">
        <v>203</v>
      </c>
    </row>
    <row r="3278" spans="1:19" ht="12.75" customHeight="1" collapsed="1">
      <c r="J3278" s="413">
        <f>SUM(J3276:J3277)</f>
        <v>-3650053.37</v>
      </c>
    </row>
    <row r="3280" spans="1:19" ht="12.75" customHeight="1">
      <c r="A3280" s="378" t="s">
        <v>5280</v>
      </c>
    </row>
    <row r="3281" spans="1:19" ht="60" hidden="1" outlineLevel="1">
      <c r="B3281" s="384">
        <v>2026</v>
      </c>
      <c r="C3281" s="384">
        <v>7</v>
      </c>
      <c r="D3281" s="367" t="s">
        <v>5</v>
      </c>
      <c r="E3281" s="367" t="s">
        <v>6</v>
      </c>
      <c r="F3281" s="389" t="s">
        <v>5281</v>
      </c>
      <c r="G3281" s="385">
        <v>46034</v>
      </c>
      <c r="H3281" s="367" t="s">
        <v>14</v>
      </c>
      <c r="I3281" s="368" t="str">
        <f>VLOOKUP(H3281,'Source Codes'!A$2:B$115,2,FALSE)</f>
        <v>AP Warrant Issuance</v>
      </c>
      <c r="J3281" s="412">
        <v>-74778193.540000007</v>
      </c>
      <c r="K3281" s="385">
        <v>46034</v>
      </c>
      <c r="L3281" s="369" t="s">
        <v>5283</v>
      </c>
      <c r="M3281" s="390">
        <v>46034.757372685184</v>
      </c>
      <c r="N3281" s="368" t="s">
        <v>361</v>
      </c>
      <c r="O3281" s="368" t="s">
        <v>370</v>
      </c>
      <c r="P3281" s="368" t="str">
        <f t="shared" ref="P3281" si="107">IF(J3281&gt;0,"Revenue",IF(J3281&lt;0,"Expense"))</f>
        <v>Expense</v>
      </c>
      <c r="Q3281" s="366" t="s">
        <v>2975</v>
      </c>
      <c r="R3281" s="366" t="s">
        <v>5282</v>
      </c>
      <c r="S3281" s="366">
        <v>525440</v>
      </c>
    </row>
    <row r="3282" spans="1:19" ht="12.75" customHeight="1" collapsed="1">
      <c r="J3282" s="413">
        <f>SUM(J3281)</f>
        <v>-74778193.540000007</v>
      </c>
    </row>
    <row r="3284" spans="1:19" ht="12.75" customHeight="1">
      <c r="A3284" s="378" t="s">
        <v>5284</v>
      </c>
    </row>
    <row r="3285" spans="1:19" ht="30" hidden="1" outlineLevel="1">
      <c r="B3285" s="384">
        <v>2026</v>
      </c>
      <c r="C3285" s="384">
        <v>7</v>
      </c>
      <c r="D3285" s="367" t="s">
        <v>5</v>
      </c>
      <c r="E3285" s="367" t="s">
        <v>6</v>
      </c>
      <c r="F3285" s="389" t="s">
        <v>5285</v>
      </c>
      <c r="G3285" s="385">
        <v>46035</v>
      </c>
      <c r="H3285" s="367" t="s">
        <v>14</v>
      </c>
      <c r="I3285" s="368" t="str">
        <f>VLOOKUP(H3285,'Source Codes'!A$2:B$115,2,FALSE)</f>
        <v>AP Warrant Issuance</v>
      </c>
      <c r="J3285" s="412">
        <v>-1230492.71</v>
      </c>
      <c r="K3285" s="385">
        <v>46035</v>
      </c>
      <c r="L3285" s="369" t="s">
        <v>5291</v>
      </c>
      <c r="M3285" s="390">
        <v>46035.758750000001</v>
      </c>
      <c r="N3285" s="366" t="s">
        <v>356</v>
      </c>
      <c r="O3285" s="367" t="s">
        <v>368</v>
      </c>
      <c r="P3285" s="368" t="str">
        <f t="shared" ref="P3285:P3287" si="108">IF(J3285&gt;0,"Revenue",IF(J3285&lt;0,"Expense"))</f>
        <v>Expense</v>
      </c>
      <c r="Q3285" s="366" t="s">
        <v>2154</v>
      </c>
      <c r="R3285" s="366" t="s">
        <v>2154</v>
      </c>
      <c r="S3285" s="366" t="s">
        <v>203</v>
      </c>
    </row>
    <row r="3286" spans="1:19" ht="60" hidden="1" outlineLevel="1">
      <c r="B3286" s="384">
        <v>2026</v>
      </c>
      <c r="C3286" s="384">
        <v>7</v>
      </c>
      <c r="D3286" s="367" t="s">
        <v>5</v>
      </c>
      <c r="E3286" s="367" t="s">
        <v>6</v>
      </c>
      <c r="F3286" s="389" t="s">
        <v>5286</v>
      </c>
      <c r="G3286" s="385">
        <v>46030</v>
      </c>
      <c r="H3286" s="367" t="s">
        <v>12</v>
      </c>
      <c r="I3286" s="368" t="str">
        <f>VLOOKUP(H3286,'Source Codes'!A$2:B$115,2,FALSE)</f>
        <v>AR Direct Cash Journal</v>
      </c>
      <c r="J3286" s="412">
        <v>7750855.4699999997</v>
      </c>
      <c r="K3286" s="385">
        <v>46035</v>
      </c>
      <c r="L3286" s="369" t="s">
        <v>5289</v>
      </c>
      <c r="M3286" s="390">
        <v>46035.75209490741</v>
      </c>
      <c r="N3286" s="366" t="s">
        <v>356</v>
      </c>
      <c r="O3286" s="367" t="s">
        <v>370</v>
      </c>
      <c r="P3286" s="368" t="str">
        <f t="shared" si="108"/>
        <v>Revenue</v>
      </c>
      <c r="Q3286" s="366" t="s">
        <v>2264</v>
      </c>
      <c r="R3286" s="366" t="s">
        <v>2264</v>
      </c>
      <c r="S3286" s="366" t="s">
        <v>5290</v>
      </c>
    </row>
    <row r="3287" spans="1:19" ht="15" hidden="1" outlineLevel="1">
      <c r="B3287" s="384">
        <v>2026</v>
      </c>
      <c r="C3287" s="384">
        <v>7</v>
      </c>
      <c r="D3287" s="367" t="s">
        <v>5</v>
      </c>
      <c r="E3287" s="367" t="s">
        <v>6</v>
      </c>
      <c r="F3287" s="389" t="s">
        <v>5287</v>
      </c>
      <c r="G3287" s="385">
        <v>46031</v>
      </c>
      <c r="H3287" s="367" t="s">
        <v>9</v>
      </c>
      <c r="I3287" s="368" t="str">
        <f>VLOOKUP(H3287,'Source Codes'!A$2:B$115,2,FALSE)</f>
        <v>On Line Journal Entries</v>
      </c>
      <c r="J3287" s="412">
        <v>1250219.44</v>
      </c>
      <c r="K3287" s="385">
        <v>46035</v>
      </c>
      <c r="L3287" s="369" t="s">
        <v>5288</v>
      </c>
      <c r="M3287" s="390">
        <v>46035.87091435185</v>
      </c>
      <c r="N3287" s="366" t="s">
        <v>361</v>
      </c>
      <c r="O3287" s="367" t="s">
        <v>400</v>
      </c>
      <c r="P3287" s="368" t="str">
        <f t="shared" si="108"/>
        <v>Revenue</v>
      </c>
      <c r="Q3287" s="366" t="s">
        <v>5292</v>
      </c>
      <c r="R3287" s="366" t="s">
        <v>5293</v>
      </c>
      <c r="S3287" s="366">
        <v>755900</v>
      </c>
    </row>
    <row r="3288" spans="1:19" ht="15" collapsed="1">
      <c r="J3288" s="413">
        <f>SUM(J3285:J3287)</f>
        <v>7770582.1999999993</v>
      </c>
    </row>
    <row r="3290" spans="1:19" ht="12.75" customHeight="1">
      <c r="A3290" s="378" t="s">
        <v>5294</v>
      </c>
    </row>
    <row r="3291" spans="1:19" ht="30" hidden="1" outlineLevel="1">
      <c r="B3291" s="384">
        <v>2026</v>
      </c>
      <c r="C3291" s="384">
        <v>7</v>
      </c>
      <c r="D3291" s="367" t="s">
        <v>5</v>
      </c>
      <c r="E3291" s="367" t="s">
        <v>6</v>
      </c>
      <c r="F3291" s="389" t="s">
        <v>5295</v>
      </c>
      <c r="G3291" s="385">
        <v>46038</v>
      </c>
      <c r="H3291" s="367" t="s">
        <v>14</v>
      </c>
      <c r="I3291" s="368" t="str">
        <f>VLOOKUP(H3291,'Source Codes'!A$2:B$115,2,FALSE)</f>
        <v>AP Warrant Issuance</v>
      </c>
      <c r="J3291" s="412">
        <v>-2812317.09</v>
      </c>
      <c r="K3291" s="385">
        <v>46036</v>
      </c>
      <c r="L3291" s="369" t="s">
        <v>5301</v>
      </c>
      <c r="M3291" s="390">
        <v>46036.759004629632</v>
      </c>
      <c r="N3291" s="366" t="s">
        <v>356</v>
      </c>
      <c r="O3291" s="367" t="s">
        <v>368</v>
      </c>
      <c r="P3291" s="368" t="str">
        <f t="shared" ref="P3291:P3296" si="109">IF(J3291&gt;0,"Revenue",IF(J3291&lt;0,"Expense"))</f>
        <v>Expense</v>
      </c>
      <c r="Q3291" s="366" t="s">
        <v>2154</v>
      </c>
      <c r="R3291" s="366" t="s">
        <v>2154</v>
      </c>
      <c r="S3291" s="366" t="s">
        <v>203</v>
      </c>
    </row>
    <row r="3292" spans="1:19" ht="30" hidden="1" outlineLevel="1">
      <c r="B3292" s="384">
        <v>2026</v>
      </c>
      <c r="C3292" s="384">
        <v>7</v>
      </c>
      <c r="D3292" s="367" t="s">
        <v>5</v>
      </c>
      <c r="E3292" s="367" t="s">
        <v>6</v>
      </c>
      <c r="F3292" s="389" t="s">
        <v>5296</v>
      </c>
      <c r="G3292" s="385">
        <v>46036</v>
      </c>
      <c r="H3292" s="367" t="s">
        <v>14</v>
      </c>
      <c r="I3292" s="368" t="str">
        <f>VLOOKUP(H3292,'Source Codes'!A$2:B$115,2,FALSE)</f>
        <v>AP Warrant Issuance</v>
      </c>
      <c r="J3292" s="412">
        <v>-1912102.06</v>
      </c>
      <c r="K3292" s="385">
        <v>46036</v>
      </c>
      <c r="L3292" s="369" t="s">
        <v>5302</v>
      </c>
      <c r="M3292" s="390">
        <v>46036.759004629632</v>
      </c>
      <c r="N3292" s="366" t="s">
        <v>356</v>
      </c>
      <c r="O3292" s="367" t="s">
        <v>368</v>
      </c>
      <c r="P3292" s="368" t="str">
        <f t="shared" si="109"/>
        <v>Expense</v>
      </c>
      <c r="Q3292" s="366" t="s">
        <v>2154</v>
      </c>
      <c r="R3292" s="366" t="s">
        <v>2154</v>
      </c>
      <c r="S3292" s="366" t="s">
        <v>203</v>
      </c>
    </row>
    <row r="3293" spans="1:19" ht="60" hidden="1" outlineLevel="1">
      <c r="B3293" s="384">
        <v>2026</v>
      </c>
      <c r="C3293" s="384">
        <v>7</v>
      </c>
      <c r="D3293" s="367" t="s">
        <v>5</v>
      </c>
      <c r="E3293" s="367" t="s">
        <v>6</v>
      </c>
      <c r="F3293" s="389" t="s">
        <v>5297</v>
      </c>
      <c r="G3293" s="385">
        <v>46035</v>
      </c>
      <c r="H3293" s="367" t="s">
        <v>12</v>
      </c>
      <c r="I3293" s="368" t="str">
        <f>VLOOKUP(H3293,'Source Codes'!A$2:B$115,2,FALSE)</f>
        <v>AR Direct Cash Journal</v>
      </c>
      <c r="J3293" s="412">
        <v>2925828.31</v>
      </c>
      <c r="K3293" s="385">
        <v>46036</v>
      </c>
      <c r="L3293" s="369" t="s">
        <v>5303</v>
      </c>
      <c r="M3293" s="390">
        <v>46036.752453703702</v>
      </c>
      <c r="N3293" s="366" t="s">
        <v>359</v>
      </c>
      <c r="O3293" s="367" t="s">
        <v>370</v>
      </c>
      <c r="P3293" s="368" t="str">
        <f t="shared" si="109"/>
        <v>Revenue</v>
      </c>
      <c r="Q3293" s="366" t="s">
        <v>2264</v>
      </c>
      <c r="R3293" s="365" t="s">
        <v>2264</v>
      </c>
      <c r="S3293" s="366" t="s">
        <v>203</v>
      </c>
    </row>
    <row r="3294" spans="1:19" ht="60" hidden="1" outlineLevel="1">
      <c r="B3294" s="384">
        <v>2026</v>
      </c>
      <c r="C3294" s="384">
        <v>7</v>
      </c>
      <c r="D3294" s="367" t="s">
        <v>5</v>
      </c>
      <c r="E3294" s="367" t="s">
        <v>6</v>
      </c>
      <c r="F3294" s="389" t="s">
        <v>5298</v>
      </c>
      <c r="G3294" s="385">
        <v>46036</v>
      </c>
      <c r="H3294" s="367" t="s">
        <v>11</v>
      </c>
      <c r="I3294" s="368" t="str">
        <f>VLOOKUP(H3294,'Source Codes'!A$2:B$115,2,FALSE)</f>
        <v>AR Payments</v>
      </c>
      <c r="J3294" s="412">
        <v>1206638.22</v>
      </c>
      <c r="K3294" s="385">
        <v>46036</v>
      </c>
      <c r="L3294" s="369" t="s">
        <v>5304</v>
      </c>
      <c r="M3294" s="390">
        <v>46036.752453703702</v>
      </c>
      <c r="N3294" s="366" t="s">
        <v>359</v>
      </c>
      <c r="O3294" s="367" t="s">
        <v>357</v>
      </c>
      <c r="P3294" s="368" t="str">
        <f t="shared" si="109"/>
        <v>Revenue</v>
      </c>
      <c r="Q3294" s="366" t="s">
        <v>2157</v>
      </c>
      <c r="R3294" s="366" t="s">
        <v>2157</v>
      </c>
      <c r="S3294" s="366" t="s">
        <v>2803</v>
      </c>
    </row>
    <row r="3295" spans="1:19" ht="30" hidden="1" outlineLevel="1">
      <c r="B3295" s="384">
        <v>2026</v>
      </c>
      <c r="C3295" s="384">
        <v>7</v>
      </c>
      <c r="D3295" s="367" t="s">
        <v>5</v>
      </c>
      <c r="E3295" s="367" t="s">
        <v>6</v>
      </c>
      <c r="F3295" s="389" t="s">
        <v>5299</v>
      </c>
      <c r="G3295" s="385">
        <v>46028</v>
      </c>
      <c r="H3295" s="367" t="s">
        <v>9</v>
      </c>
      <c r="I3295" s="368" t="str">
        <f>VLOOKUP(H3295,'Source Codes'!A$2:B$115,2,FALSE)</f>
        <v>On Line Journal Entries</v>
      </c>
      <c r="J3295" s="412">
        <v>4445110</v>
      </c>
      <c r="K3295" s="385">
        <v>46036</v>
      </c>
      <c r="L3295" s="369" t="s">
        <v>344</v>
      </c>
      <c r="M3295" s="390">
        <v>46036.870381944442</v>
      </c>
      <c r="N3295" s="366" t="s">
        <v>356</v>
      </c>
      <c r="O3295" s="367" t="s">
        <v>364</v>
      </c>
      <c r="P3295" s="368" t="str">
        <f t="shared" si="109"/>
        <v>Revenue</v>
      </c>
      <c r="Q3295" s="366" t="s">
        <v>2232</v>
      </c>
      <c r="R3295" s="366" t="s">
        <v>2232</v>
      </c>
      <c r="S3295" s="366" t="s">
        <v>4001</v>
      </c>
    </row>
    <row r="3296" spans="1:19" ht="30" hidden="1" outlineLevel="1">
      <c r="B3296" s="384">
        <v>2026</v>
      </c>
      <c r="C3296" s="384">
        <v>7</v>
      </c>
      <c r="D3296" s="367" t="s">
        <v>5</v>
      </c>
      <c r="E3296" s="367" t="s">
        <v>6</v>
      </c>
      <c r="F3296" s="389" t="s">
        <v>5300</v>
      </c>
      <c r="G3296" s="385">
        <v>46028</v>
      </c>
      <c r="H3296" s="367" t="s">
        <v>9</v>
      </c>
      <c r="I3296" s="368" t="str">
        <f>VLOOKUP(H3296,'Source Codes'!A$2:B$115,2,FALSE)</f>
        <v>On Line Journal Entries</v>
      </c>
      <c r="J3296" s="412">
        <v>1726907</v>
      </c>
      <c r="K3296" s="385">
        <v>46036</v>
      </c>
      <c r="L3296" s="369" t="s">
        <v>344</v>
      </c>
      <c r="M3296" s="390">
        <v>46036.870381944442</v>
      </c>
      <c r="N3296" s="366" t="s">
        <v>356</v>
      </c>
      <c r="O3296" s="367" t="s">
        <v>364</v>
      </c>
      <c r="P3296" s="368" t="str">
        <f t="shared" si="109"/>
        <v>Revenue</v>
      </c>
      <c r="Q3296" s="366" t="s">
        <v>2232</v>
      </c>
      <c r="R3296" s="366" t="s">
        <v>2232</v>
      </c>
      <c r="S3296" s="366" t="s">
        <v>5305</v>
      </c>
    </row>
    <row r="3297" spans="1:19" ht="12.75" customHeight="1" collapsed="1">
      <c r="J3297" s="413">
        <f>SUM(J3291:J3296)</f>
        <v>5580064.3799999999</v>
      </c>
    </row>
    <row r="3299" spans="1:19" ht="12.75" customHeight="1">
      <c r="A3299" s="378" t="s">
        <v>5306</v>
      </c>
    </row>
    <row r="3300" spans="1:19" ht="60" hidden="1" outlineLevel="1">
      <c r="B3300" s="384">
        <v>2026</v>
      </c>
      <c r="C3300" s="384">
        <v>7</v>
      </c>
      <c r="D3300" s="367" t="s">
        <v>5</v>
      </c>
      <c r="E3300" s="367" t="s">
        <v>6</v>
      </c>
      <c r="F3300" s="389" t="s">
        <v>5307</v>
      </c>
      <c r="G3300" s="385">
        <v>46042</v>
      </c>
      <c r="H3300" s="367" t="s">
        <v>14</v>
      </c>
      <c r="I3300" s="368" t="str">
        <f>VLOOKUP(H3300,'Source Codes'!A$2:B$115,2,FALSE)</f>
        <v>AP Warrant Issuance</v>
      </c>
      <c r="J3300" s="412">
        <v>-6356038.1500000004</v>
      </c>
      <c r="K3300" s="385">
        <v>46037</v>
      </c>
      <c r="L3300" s="369" t="s">
        <v>5329</v>
      </c>
      <c r="M3300" s="390">
        <v>46037.758553240739</v>
      </c>
      <c r="N3300" s="366" t="s">
        <v>359</v>
      </c>
      <c r="O3300" s="367" t="s">
        <v>364</v>
      </c>
      <c r="P3300" s="367" t="str">
        <f t="shared" ref="P3300:P3315" si="110">IF(J3300&gt;0,"Revenue",IF(J3300&lt;0,"Expense"))</f>
        <v>Expense</v>
      </c>
      <c r="Q3300" s="366" t="s">
        <v>2254</v>
      </c>
      <c r="R3300" s="365">
        <v>46023</v>
      </c>
      <c r="S3300" s="366">
        <v>530440</v>
      </c>
    </row>
    <row r="3301" spans="1:19" ht="60" hidden="1" outlineLevel="1">
      <c r="B3301" s="384">
        <v>2026</v>
      </c>
      <c r="C3301" s="384">
        <v>7</v>
      </c>
      <c r="D3301" s="367" t="s">
        <v>5</v>
      </c>
      <c r="E3301" s="367" t="s">
        <v>6</v>
      </c>
      <c r="F3301" s="389" t="s">
        <v>5308</v>
      </c>
      <c r="G3301" s="385">
        <v>46037</v>
      </c>
      <c r="H3301" s="367" t="s">
        <v>14</v>
      </c>
      <c r="I3301" s="368" t="str">
        <f>VLOOKUP(H3301,'Source Codes'!A$2:B$115,2,FALSE)</f>
        <v>AP Warrant Issuance</v>
      </c>
      <c r="J3301" s="412">
        <v>-4108319.44</v>
      </c>
      <c r="K3301" s="385">
        <v>46037</v>
      </c>
      <c r="L3301" s="369" t="s">
        <v>5331</v>
      </c>
      <c r="M3301" s="390">
        <v>46037.758553240739</v>
      </c>
      <c r="N3301" s="366" t="s">
        <v>361</v>
      </c>
      <c r="O3301" s="367" t="s">
        <v>363</v>
      </c>
      <c r="P3301" s="367" t="str">
        <f t="shared" si="110"/>
        <v>Expense</v>
      </c>
      <c r="Q3301" s="366" t="s">
        <v>2446</v>
      </c>
      <c r="R3301" s="366" t="s">
        <v>5330</v>
      </c>
      <c r="S3301" s="366">
        <v>208100</v>
      </c>
    </row>
    <row r="3302" spans="1:19" ht="75" hidden="1" outlineLevel="1">
      <c r="B3302" s="384">
        <v>2026</v>
      </c>
      <c r="C3302" s="384">
        <v>7</v>
      </c>
      <c r="D3302" s="367" t="s">
        <v>5</v>
      </c>
      <c r="E3302" s="367" t="s">
        <v>6</v>
      </c>
      <c r="F3302" s="389" t="s">
        <v>5309</v>
      </c>
      <c r="G3302" s="385">
        <v>46037</v>
      </c>
      <c r="H3302" s="367" t="s">
        <v>14</v>
      </c>
      <c r="I3302" s="368" t="str">
        <f>VLOOKUP(H3302,'Source Codes'!A$2:B$115,2,FALSE)</f>
        <v>AP Warrant Issuance</v>
      </c>
      <c r="J3302" s="412">
        <v>-3239376.37</v>
      </c>
      <c r="K3302" s="385">
        <v>46037</v>
      </c>
      <c r="L3302" s="369" t="s">
        <v>5332</v>
      </c>
      <c r="M3302" s="390">
        <v>46037.758553240739</v>
      </c>
      <c r="N3302" s="366" t="s">
        <v>2185</v>
      </c>
      <c r="O3302" s="367" t="s">
        <v>400</v>
      </c>
      <c r="P3302" s="367" t="str">
        <f t="shared" si="110"/>
        <v>Expense</v>
      </c>
      <c r="Q3302" s="366" t="s">
        <v>5333</v>
      </c>
      <c r="R3302" s="366" t="s">
        <v>5334</v>
      </c>
      <c r="S3302" s="366">
        <v>230100</v>
      </c>
    </row>
    <row r="3303" spans="1:19" ht="30" hidden="1" outlineLevel="1">
      <c r="B3303" s="384">
        <v>2026</v>
      </c>
      <c r="C3303" s="384">
        <v>7</v>
      </c>
      <c r="D3303" s="367" t="s">
        <v>5</v>
      </c>
      <c r="E3303" s="367" t="s">
        <v>6</v>
      </c>
      <c r="F3303" s="389" t="s">
        <v>5310</v>
      </c>
      <c r="G3303" s="385">
        <v>46037</v>
      </c>
      <c r="H3303" s="367" t="s">
        <v>14</v>
      </c>
      <c r="I3303" s="368" t="str">
        <f>VLOOKUP(H3303,'Source Codes'!A$2:B$115,2,FALSE)</f>
        <v>AP Warrant Issuance</v>
      </c>
      <c r="J3303" s="412">
        <v>-1333432.68</v>
      </c>
      <c r="K3303" s="385">
        <v>46037</v>
      </c>
      <c r="L3303" s="369" t="s">
        <v>5351</v>
      </c>
      <c r="M3303" s="390">
        <v>46037.758553240739</v>
      </c>
      <c r="N3303" s="366" t="s">
        <v>359</v>
      </c>
      <c r="O3303" s="367" t="s">
        <v>368</v>
      </c>
      <c r="P3303" s="367" t="str">
        <f t="shared" si="110"/>
        <v>Expense</v>
      </c>
      <c r="Q3303" s="366" t="s">
        <v>2154</v>
      </c>
      <c r="R3303" s="366" t="s">
        <v>2154</v>
      </c>
      <c r="S3303" s="366" t="s">
        <v>303</v>
      </c>
    </row>
    <row r="3304" spans="1:19" ht="30" hidden="1" outlineLevel="1">
      <c r="B3304" s="384">
        <v>2026</v>
      </c>
      <c r="C3304" s="384">
        <v>7</v>
      </c>
      <c r="D3304" s="367" t="s">
        <v>5</v>
      </c>
      <c r="E3304" s="367" t="s">
        <v>6</v>
      </c>
      <c r="F3304" s="389" t="s">
        <v>5311</v>
      </c>
      <c r="G3304" s="385">
        <v>46042</v>
      </c>
      <c r="H3304" s="367" t="s">
        <v>14</v>
      </c>
      <c r="I3304" s="368" t="str">
        <f>VLOOKUP(H3304,'Source Codes'!A$2:B$115,2,FALSE)</f>
        <v>AP Warrant Issuance</v>
      </c>
      <c r="J3304" s="412">
        <v>-1147988.8</v>
      </c>
      <c r="K3304" s="385">
        <v>46037</v>
      </c>
      <c r="L3304" s="369" t="s">
        <v>5352</v>
      </c>
      <c r="M3304" s="390">
        <v>46037.758553240739</v>
      </c>
      <c r="N3304" s="366" t="s">
        <v>359</v>
      </c>
      <c r="O3304" s="367" t="s">
        <v>368</v>
      </c>
      <c r="P3304" s="367" t="str">
        <f t="shared" si="110"/>
        <v>Expense</v>
      </c>
      <c r="Q3304" s="366" t="s">
        <v>2154</v>
      </c>
      <c r="R3304" s="366" t="s">
        <v>2154</v>
      </c>
      <c r="S3304" s="366" t="s">
        <v>303</v>
      </c>
    </row>
    <row r="3305" spans="1:19" ht="30" hidden="1" outlineLevel="1">
      <c r="B3305" s="384">
        <v>2026</v>
      </c>
      <c r="C3305" s="384">
        <v>7</v>
      </c>
      <c r="D3305" s="367" t="s">
        <v>5</v>
      </c>
      <c r="E3305" s="367" t="s">
        <v>6</v>
      </c>
      <c r="F3305" s="389" t="s">
        <v>5312</v>
      </c>
      <c r="G3305" s="385">
        <v>46037</v>
      </c>
      <c r="H3305" s="367" t="s">
        <v>12</v>
      </c>
      <c r="I3305" s="368" t="str">
        <f>VLOOKUP(H3305,'Source Codes'!A$2:B$115,2,FALSE)</f>
        <v>AR Direct Cash Journal</v>
      </c>
      <c r="J3305" s="412">
        <v>2360213.12</v>
      </c>
      <c r="K3305" s="385">
        <v>46037</v>
      </c>
      <c r="L3305" s="369" t="s">
        <v>5335</v>
      </c>
      <c r="M3305" s="390">
        <v>46037.752175925925</v>
      </c>
      <c r="N3305" s="366" t="s">
        <v>356</v>
      </c>
      <c r="O3305" s="367" t="s">
        <v>370</v>
      </c>
      <c r="P3305" s="367" t="str">
        <f t="shared" si="110"/>
        <v>Revenue</v>
      </c>
      <c r="Q3305" s="366" t="s">
        <v>2264</v>
      </c>
      <c r="R3305" s="366" t="s">
        <v>2264</v>
      </c>
      <c r="S3305" s="366" t="s">
        <v>5336</v>
      </c>
    </row>
    <row r="3306" spans="1:19" ht="30" hidden="1" outlineLevel="1">
      <c r="B3306" s="384">
        <v>2026</v>
      </c>
      <c r="C3306" s="384">
        <v>7</v>
      </c>
      <c r="D3306" s="367" t="s">
        <v>5</v>
      </c>
      <c r="E3306" s="367" t="s">
        <v>6</v>
      </c>
      <c r="F3306" s="389" t="s">
        <v>5313</v>
      </c>
      <c r="G3306" s="385">
        <v>46031</v>
      </c>
      <c r="H3306" s="367" t="s">
        <v>12</v>
      </c>
      <c r="I3306" s="368" t="str">
        <f>VLOOKUP(H3306,'Source Codes'!A$2:B$115,2,FALSE)</f>
        <v>AR Direct Cash Journal</v>
      </c>
      <c r="J3306" s="412">
        <v>16883446.789999999</v>
      </c>
      <c r="K3306" s="385">
        <v>46037</v>
      </c>
      <c r="L3306" s="369" t="s">
        <v>5337</v>
      </c>
      <c r="M3306" s="390">
        <v>46037.752175925925</v>
      </c>
      <c r="N3306" s="366" t="s">
        <v>356</v>
      </c>
      <c r="O3306" s="367" t="s">
        <v>368</v>
      </c>
      <c r="P3306" s="367" t="str">
        <f t="shared" si="110"/>
        <v>Revenue</v>
      </c>
      <c r="Q3306" s="366" t="s">
        <v>2177</v>
      </c>
      <c r="R3306" s="366" t="s">
        <v>2214</v>
      </c>
      <c r="S3306" s="366" t="s">
        <v>4539</v>
      </c>
    </row>
    <row r="3307" spans="1:19" ht="30" hidden="1" outlineLevel="1">
      <c r="B3307" s="384">
        <v>2026</v>
      </c>
      <c r="C3307" s="384">
        <v>7</v>
      </c>
      <c r="D3307" s="367" t="s">
        <v>5</v>
      </c>
      <c r="E3307" s="367" t="s">
        <v>6</v>
      </c>
      <c r="F3307" s="389" t="s">
        <v>5314</v>
      </c>
      <c r="G3307" s="385">
        <v>46037</v>
      </c>
      <c r="H3307" s="367" t="s">
        <v>12</v>
      </c>
      <c r="I3307" s="368" t="str">
        <f>VLOOKUP(H3307,'Source Codes'!A$2:B$115,2,FALSE)</f>
        <v>AR Direct Cash Journal</v>
      </c>
      <c r="J3307" s="412">
        <v>214143078.16999999</v>
      </c>
      <c r="K3307" s="385">
        <v>46037</v>
      </c>
      <c r="L3307" s="369" t="s">
        <v>5339</v>
      </c>
      <c r="M3307" s="390">
        <v>46037.752175925925</v>
      </c>
      <c r="N3307" s="366" t="s">
        <v>377</v>
      </c>
      <c r="O3307" s="367" t="s">
        <v>358</v>
      </c>
      <c r="P3307" s="367" t="str">
        <f t="shared" si="110"/>
        <v>Revenue</v>
      </c>
      <c r="Q3307" s="366" t="s">
        <v>2512</v>
      </c>
      <c r="R3307" s="366" t="s">
        <v>5338</v>
      </c>
      <c r="S3307" s="366">
        <v>101500</v>
      </c>
    </row>
    <row r="3308" spans="1:19" ht="60" hidden="1" outlineLevel="1">
      <c r="B3308" s="384">
        <v>2026</v>
      </c>
      <c r="C3308" s="384">
        <v>7</v>
      </c>
      <c r="D3308" s="367" t="s">
        <v>5</v>
      </c>
      <c r="E3308" s="367" t="s">
        <v>6</v>
      </c>
      <c r="F3308" s="389" t="s">
        <v>5315</v>
      </c>
      <c r="G3308" s="385">
        <v>46037</v>
      </c>
      <c r="H3308" s="367" t="s">
        <v>11</v>
      </c>
      <c r="I3308" s="368" t="str">
        <f>VLOOKUP(H3308,'Source Codes'!A$2:B$115,2,FALSE)</f>
        <v>AR Payments</v>
      </c>
      <c r="J3308" s="412">
        <v>2061448</v>
      </c>
      <c r="K3308" s="385">
        <v>46037</v>
      </c>
      <c r="L3308" s="369" t="s">
        <v>5340</v>
      </c>
      <c r="M3308" s="390">
        <v>46037.752175925925</v>
      </c>
      <c r="N3308" s="366" t="s">
        <v>359</v>
      </c>
      <c r="O3308" s="367" t="s">
        <v>357</v>
      </c>
      <c r="P3308" s="367" t="str">
        <f t="shared" si="110"/>
        <v>Revenue</v>
      </c>
      <c r="Q3308" s="366" t="s">
        <v>2157</v>
      </c>
      <c r="R3308" s="366" t="s">
        <v>2157</v>
      </c>
      <c r="S3308" s="366" t="s">
        <v>2278</v>
      </c>
    </row>
    <row r="3309" spans="1:19" ht="15" hidden="1" outlineLevel="1">
      <c r="B3309" s="384">
        <v>2026</v>
      </c>
      <c r="C3309" s="384">
        <v>7</v>
      </c>
      <c r="D3309" s="367" t="s">
        <v>5</v>
      </c>
      <c r="E3309" s="367" t="s">
        <v>6</v>
      </c>
      <c r="F3309" s="389" t="s">
        <v>5316</v>
      </c>
      <c r="G3309" s="385">
        <v>46035</v>
      </c>
      <c r="H3309" s="367" t="s">
        <v>9</v>
      </c>
      <c r="I3309" s="368" t="str">
        <f>VLOOKUP(H3309,'Source Codes'!A$2:B$115,2,FALSE)</f>
        <v>On Line Journal Entries</v>
      </c>
      <c r="J3309" s="412">
        <v>8714463</v>
      </c>
      <c r="K3309" s="385">
        <v>46037</v>
      </c>
      <c r="L3309" s="369" t="s">
        <v>5323</v>
      </c>
      <c r="M3309" s="390">
        <v>46037.47859953704</v>
      </c>
      <c r="N3309" s="366" t="s">
        <v>361</v>
      </c>
      <c r="O3309" s="367" t="s">
        <v>368</v>
      </c>
      <c r="P3309" s="367" t="str">
        <f t="shared" si="110"/>
        <v>Revenue</v>
      </c>
      <c r="Q3309" s="366" t="s">
        <v>2869</v>
      </c>
      <c r="R3309" s="366" t="s">
        <v>2563</v>
      </c>
      <c r="S3309" s="366">
        <v>755926</v>
      </c>
    </row>
    <row r="3310" spans="1:19" ht="30" hidden="1" outlineLevel="1">
      <c r="B3310" s="384">
        <v>2026</v>
      </c>
      <c r="C3310" s="384">
        <v>7</v>
      </c>
      <c r="D3310" s="367" t="s">
        <v>5</v>
      </c>
      <c r="E3310" s="367" t="s">
        <v>6</v>
      </c>
      <c r="F3310" s="389" t="s">
        <v>5317</v>
      </c>
      <c r="G3310" s="385">
        <v>46028</v>
      </c>
      <c r="H3310" s="367" t="s">
        <v>9</v>
      </c>
      <c r="I3310" s="368" t="str">
        <f>VLOOKUP(H3310,'Source Codes'!A$2:B$115,2,FALSE)</f>
        <v>On Line Journal Entries</v>
      </c>
      <c r="J3310" s="412">
        <v>6452049</v>
      </c>
      <c r="K3310" s="385">
        <v>46037</v>
      </c>
      <c r="L3310" s="369" t="s">
        <v>344</v>
      </c>
      <c r="M3310" s="390">
        <v>46037.4765162037</v>
      </c>
      <c r="N3310" s="366" t="s">
        <v>356</v>
      </c>
      <c r="O3310" s="367" t="s">
        <v>364</v>
      </c>
      <c r="P3310" s="367" t="str">
        <f t="shared" si="110"/>
        <v>Revenue</v>
      </c>
      <c r="Q3310" s="366" t="s">
        <v>2232</v>
      </c>
      <c r="R3310" s="366" t="s">
        <v>2232</v>
      </c>
      <c r="S3310" s="366" t="s">
        <v>5341</v>
      </c>
    </row>
    <row r="3311" spans="1:19" ht="15" hidden="1" outlineLevel="1">
      <c r="B3311" s="384">
        <v>2026</v>
      </c>
      <c r="C3311" s="384">
        <v>7</v>
      </c>
      <c r="D3311" s="367" t="s">
        <v>5</v>
      </c>
      <c r="E3311" s="367" t="s">
        <v>6</v>
      </c>
      <c r="F3311" s="389" t="s">
        <v>5318</v>
      </c>
      <c r="G3311" s="385">
        <v>46029</v>
      </c>
      <c r="H3311" s="367" t="s">
        <v>337</v>
      </c>
      <c r="I3311" s="368" t="str">
        <f>VLOOKUP(H3311,'Source Codes'!A$2:B$115,2,FALSE)</f>
        <v>Facilities Mngmnt Intfc Jrnls</v>
      </c>
      <c r="J3311" s="412">
        <v>-1173076.3</v>
      </c>
      <c r="K3311" s="385">
        <v>46037</v>
      </c>
      <c r="L3311" s="369" t="s">
        <v>5324</v>
      </c>
      <c r="M3311" s="390">
        <v>46037.479363425926</v>
      </c>
      <c r="N3311" s="366" t="s">
        <v>359</v>
      </c>
      <c r="O3311" s="367" t="s">
        <v>367</v>
      </c>
      <c r="P3311" s="367" t="str">
        <f t="shared" si="110"/>
        <v>Expense</v>
      </c>
      <c r="Q3311" s="366" t="s">
        <v>2337</v>
      </c>
      <c r="R3311" s="366" t="s">
        <v>5342</v>
      </c>
      <c r="S3311" s="366">
        <v>522365</v>
      </c>
    </row>
    <row r="3312" spans="1:19" ht="15" hidden="1" outlineLevel="1">
      <c r="B3312" s="384">
        <v>2026</v>
      </c>
      <c r="C3312" s="384">
        <v>7</v>
      </c>
      <c r="D3312" s="367" t="s">
        <v>5</v>
      </c>
      <c r="E3312" s="367" t="s">
        <v>6</v>
      </c>
      <c r="F3312" s="389" t="s">
        <v>5319</v>
      </c>
      <c r="G3312" s="385">
        <v>46029</v>
      </c>
      <c r="H3312" s="367" t="s">
        <v>337</v>
      </c>
      <c r="I3312" s="368" t="str">
        <f>VLOOKUP(H3312,'Source Codes'!A$2:B$115,2,FALSE)</f>
        <v>Facilities Mngmnt Intfc Jrnls</v>
      </c>
      <c r="J3312" s="412">
        <v>-2691136.18</v>
      </c>
      <c r="K3312" s="385">
        <v>46037</v>
      </c>
      <c r="L3312" s="369" t="s">
        <v>5325</v>
      </c>
      <c r="M3312" s="390">
        <v>46037.479062500002</v>
      </c>
      <c r="N3312" s="366" t="s">
        <v>359</v>
      </c>
      <c r="O3312" s="367" t="s">
        <v>367</v>
      </c>
      <c r="P3312" s="367" t="str">
        <f t="shared" si="110"/>
        <v>Expense</v>
      </c>
      <c r="Q3312" s="366" t="s">
        <v>2337</v>
      </c>
      <c r="R3312" s="366" t="s">
        <v>5343</v>
      </c>
      <c r="S3312" s="366">
        <v>522385</v>
      </c>
    </row>
    <row r="3313" spans="1:19" ht="30" hidden="1" outlineLevel="1">
      <c r="B3313" s="384">
        <v>2026</v>
      </c>
      <c r="C3313" s="384">
        <v>7</v>
      </c>
      <c r="D3313" s="367" t="s">
        <v>5</v>
      </c>
      <c r="E3313" s="367" t="s">
        <v>6</v>
      </c>
      <c r="F3313" s="389" t="s">
        <v>5320</v>
      </c>
      <c r="G3313" s="385">
        <v>46023</v>
      </c>
      <c r="H3313" s="367" t="s">
        <v>9</v>
      </c>
      <c r="I3313" s="368" t="str">
        <f>VLOOKUP(H3313,'Source Codes'!A$2:B$115,2,FALSE)</f>
        <v>On Line Journal Entries</v>
      </c>
      <c r="J3313" s="412">
        <v>-5535427.9900000002</v>
      </c>
      <c r="K3313" s="385">
        <v>46037</v>
      </c>
      <c r="L3313" s="369" t="s">
        <v>5326</v>
      </c>
      <c r="M3313" s="390">
        <v>46037.4768287037</v>
      </c>
      <c r="N3313" s="366" t="s">
        <v>356</v>
      </c>
      <c r="O3313" s="367" t="s">
        <v>374</v>
      </c>
      <c r="P3313" s="367" t="str">
        <f t="shared" si="110"/>
        <v>Expense</v>
      </c>
      <c r="Q3313" s="366" t="s">
        <v>2202</v>
      </c>
      <c r="R3313" s="366" t="s">
        <v>5620</v>
      </c>
      <c r="S3313" s="366">
        <v>525840</v>
      </c>
    </row>
    <row r="3314" spans="1:19" ht="30" hidden="1" outlineLevel="1">
      <c r="B3314" s="384">
        <v>2026</v>
      </c>
      <c r="C3314" s="384">
        <v>7</v>
      </c>
      <c r="D3314" s="367" t="s">
        <v>5</v>
      </c>
      <c r="E3314" s="367" t="s">
        <v>6</v>
      </c>
      <c r="F3314" s="389" t="s">
        <v>5321</v>
      </c>
      <c r="G3314" s="385">
        <v>46023</v>
      </c>
      <c r="H3314" s="367" t="s">
        <v>9</v>
      </c>
      <c r="I3314" s="368" t="str">
        <f>VLOOKUP(H3314,'Source Codes'!A$2:B$115,2,FALSE)</f>
        <v>On Line Journal Entries</v>
      </c>
      <c r="J3314" s="412">
        <v>-7576523.54</v>
      </c>
      <c r="K3314" s="385">
        <v>46037</v>
      </c>
      <c r="L3314" s="369" t="s">
        <v>5327</v>
      </c>
      <c r="M3314" s="390">
        <v>46037.490173611113</v>
      </c>
      <c r="N3314" s="366" t="s">
        <v>356</v>
      </c>
      <c r="O3314" s="367" t="s">
        <v>373</v>
      </c>
      <c r="P3314" s="367" t="str">
        <f t="shared" si="110"/>
        <v>Expense</v>
      </c>
      <c r="Q3314" s="366" t="s">
        <v>2569</v>
      </c>
      <c r="R3314" s="366" t="s">
        <v>5344</v>
      </c>
      <c r="S3314" s="366">
        <v>520930</v>
      </c>
    </row>
    <row r="3315" spans="1:19" ht="15" hidden="1" outlineLevel="1">
      <c r="B3315" s="384">
        <v>2026</v>
      </c>
      <c r="C3315" s="384">
        <v>7</v>
      </c>
      <c r="D3315" s="367" t="s">
        <v>5</v>
      </c>
      <c r="E3315" s="367" t="s">
        <v>6</v>
      </c>
      <c r="F3315" s="389" t="s">
        <v>5322</v>
      </c>
      <c r="G3315" s="385">
        <v>46035</v>
      </c>
      <c r="H3315" s="367" t="s">
        <v>9</v>
      </c>
      <c r="I3315" s="368" t="str">
        <f>VLOOKUP(H3315,'Source Codes'!A$2:B$115,2,FALSE)</f>
        <v>On Line Journal Entries</v>
      </c>
      <c r="J3315" s="412">
        <v>-9364303.3200000003</v>
      </c>
      <c r="K3315" s="385">
        <v>46037</v>
      </c>
      <c r="L3315" s="369" t="s">
        <v>5328</v>
      </c>
      <c r="M3315" s="390">
        <v>46037.478125000001</v>
      </c>
      <c r="N3315" s="366" t="s">
        <v>361</v>
      </c>
      <c r="O3315" s="367" t="s">
        <v>368</v>
      </c>
      <c r="P3315" s="367" t="str">
        <f t="shared" si="110"/>
        <v>Expense</v>
      </c>
      <c r="Q3315" s="366" t="s">
        <v>2869</v>
      </c>
      <c r="R3315" s="366" t="s">
        <v>2563</v>
      </c>
      <c r="S3315" s="366">
        <v>755926</v>
      </c>
    </row>
    <row r="3316" spans="1:19" ht="12.75" customHeight="1" collapsed="1">
      <c r="J3316" s="413">
        <f>SUM(J3300:J3315)</f>
        <v>208089075.30999997</v>
      </c>
    </row>
    <row r="3318" spans="1:19" ht="12.75" customHeight="1">
      <c r="A3318" s="378" t="s">
        <v>5345</v>
      </c>
    </row>
    <row r="3319" spans="1:19" ht="30" hidden="1" outlineLevel="1">
      <c r="B3319" s="384">
        <v>2026</v>
      </c>
      <c r="C3319" s="384">
        <v>7</v>
      </c>
      <c r="D3319" s="367" t="s">
        <v>5</v>
      </c>
      <c r="E3319" s="367" t="s">
        <v>6</v>
      </c>
      <c r="F3319" s="389" t="s">
        <v>5346</v>
      </c>
      <c r="G3319" s="385">
        <v>46044</v>
      </c>
      <c r="H3319" s="367" t="s">
        <v>14</v>
      </c>
      <c r="I3319" s="368" t="str">
        <f>VLOOKUP(H3319,'Source Codes'!A$2:B$115,2,FALSE)</f>
        <v>AP Warrant Issuance</v>
      </c>
      <c r="J3319" s="412">
        <v>-1462619.6</v>
      </c>
      <c r="K3319" s="385">
        <v>46042</v>
      </c>
      <c r="L3319" s="369" t="s">
        <v>5353</v>
      </c>
      <c r="M3319" s="390">
        <v>46042.758981481478</v>
      </c>
      <c r="N3319" s="366" t="s">
        <v>356</v>
      </c>
      <c r="O3319" s="367" t="s">
        <v>368</v>
      </c>
      <c r="P3319" s="367" t="str">
        <f t="shared" ref="P3319:P3322" si="111">IF(J3319&gt;0,"Revenue",IF(J3319&lt;0,"Expense"))</f>
        <v>Expense</v>
      </c>
      <c r="Q3319" s="366" t="s">
        <v>2154</v>
      </c>
      <c r="R3319" s="366" t="s">
        <v>2154</v>
      </c>
      <c r="S3319" s="366" t="s">
        <v>303</v>
      </c>
    </row>
    <row r="3320" spans="1:19" ht="45" hidden="1" outlineLevel="1">
      <c r="B3320" s="384">
        <v>2026</v>
      </c>
      <c r="C3320" s="384">
        <v>7</v>
      </c>
      <c r="D3320" s="367" t="s">
        <v>5</v>
      </c>
      <c r="E3320" s="367" t="s">
        <v>6</v>
      </c>
      <c r="F3320" s="389" t="s">
        <v>5347</v>
      </c>
      <c r="G3320" s="385">
        <v>46038</v>
      </c>
      <c r="H3320" s="367" t="s">
        <v>11</v>
      </c>
      <c r="I3320" s="368" t="str">
        <f>VLOOKUP(H3320,'Source Codes'!A$2:B$115,2,FALSE)</f>
        <v>AR Payments</v>
      </c>
      <c r="J3320" s="412">
        <v>1299238.05</v>
      </c>
      <c r="K3320" s="385">
        <v>46042</v>
      </c>
      <c r="L3320" s="369" t="s">
        <v>5354</v>
      </c>
      <c r="M3320" s="390">
        <v>46042.752152777779</v>
      </c>
      <c r="N3320" s="366" t="s">
        <v>359</v>
      </c>
      <c r="O3320" s="367" t="s">
        <v>357</v>
      </c>
      <c r="P3320" s="367" t="str">
        <f t="shared" si="111"/>
        <v>Revenue</v>
      </c>
      <c r="Q3320" s="366" t="s">
        <v>2157</v>
      </c>
      <c r="R3320" s="366" t="s">
        <v>2157</v>
      </c>
      <c r="S3320" s="366" t="s">
        <v>4375</v>
      </c>
    </row>
    <row r="3321" spans="1:19" ht="45" hidden="1" outlineLevel="1">
      <c r="B3321" s="384">
        <v>2026</v>
      </c>
      <c r="C3321" s="384">
        <v>7</v>
      </c>
      <c r="D3321" s="367" t="s">
        <v>5</v>
      </c>
      <c r="E3321" s="367" t="s">
        <v>6</v>
      </c>
      <c r="F3321" s="389" t="s">
        <v>5348</v>
      </c>
      <c r="G3321" s="385">
        <v>46042</v>
      </c>
      <c r="H3321" s="367" t="s">
        <v>11</v>
      </c>
      <c r="I3321" s="368" t="str">
        <f>VLOOKUP(H3321,'Source Codes'!A$2:B$115,2,FALSE)</f>
        <v>AR Payments</v>
      </c>
      <c r="J3321" s="412">
        <v>1475318.22</v>
      </c>
      <c r="K3321" s="385">
        <v>46042</v>
      </c>
      <c r="L3321" s="369" t="s">
        <v>5355</v>
      </c>
      <c r="M3321" s="390">
        <v>46042.752152777779</v>
      </c>
      <c r="N3321" s="366" t="s">
        <v>359</v>
      </c>
      <c r="O3321" s="367" t="s">
        <v>357</v>
      </c>
      <c r="P3321" s="367" t="str">
        <f t="shared" si="111"/>
        <v>Revenue</v>
      </c>
      <c r="Q3321" s="366" t="s">
        <v>2157</v>
      </c>
      <c r="R3321" s="366" t="s">
        <v>2157</v>
      </c>
      <c r="S3321" s="366">
        <v>118501</v>
      </c>
    </row>
    <row r="3322" spans="1:19" ht="30" hidden="1" outlineLevel="1">
      <c r="B3322" s="384">
        <v>2026</v>
      </c>
      <c r="C3322" s="384">
        <v>7</v>
      </c>
      <c r="D3322" s="367" t="s">
        <v>5</v>
      </c>
      <c r="E3322" s="367" t="s">
        <v>6</v>
      </c>
      <c r="F3322" s="389" t="s">
        <v>5349</v>
      </c>
      <c r="G3322" s="385">
        <v>46037</v>
      </c>
      <c r="H3322" s="367" t="s">
        <v>16</v>
      </c>
      <c r="I3322" s="368" t="str">
        <f>VLOOKUP(H3322,'Source Codes'!A$2:B$115,2,FALSE)</f>
        <v>Property Tax Interface</v>
      </c>
      <c r="J3322" s="412">
        <v>7239628.9500000002</v>
      </c>
      <c r="K3322" s="385">
        <v>46042</v>
      </c>
      <c r="L3322" s="369" t="s">
        <v>5350</v>
      </c>
      <c r="M3322" s="390">
        <v>46042.341203703705</v>
      </c>
      <c r="N3322" s="366" t="s">
        <v>377</v>
      </c>
      <c r="O3322" s="367" t="s">
        <v>384</v>
      </c>
      <c r="P3322" s="367" t="str">
        <f t="shared" si="111"/>
        <v>Revenue</v>
      </c>
      <c r="Q3322" s="366" t="s">
        <v>2506</v>
      </c>
      <c r="R3322" s="366" t="s">
        <v>5356</v>
      </c>
      <c r="S3322" s="366" t="s">
        <v>2200</v>
      </c>
    </row>
    <row r="3323" spans="1:19" ht="12.75" customHeight="1" collapsed="1">
      <c r="J3323" s="413">
        <f>SUM(J3319:J3322)</f>
        <v>8551565.620000001</v>
      </c>
    </row>
    <row r="3325" spans="1:19" ht="12.75" customHeight="1">
      <c r="A3325" s="378" t="s">
        <v>5357</v>
      </c>
    </row>
    <row r="3326" spans="1:19" ht="30" hidden="1" outlineLevel="1">
      <c r="B3326" s="384">
        <v>2026</v>
      </c>
      <c r="C3326" s="384">
        <v>7</v>
      </c>
      <c r="D3326" s="367" t="s">
        <v>5</v>
      </c>
      <c r="E3326" s="367" t="s">
        <v>6</v>
      </c>
      <c r="F3326" s="389" t="s">
        <v>5358</v>
      </c>
      <c r="G3326" s="385">
        <v>46038</v>
      </c>
      <c r="H3326" s="367" t="s">
        <v>12</v>
      </c>
      <c r="I3326" s="368" t="str">
        <f>VLOOKUP(H3326,'Source Codes'!A$2:B$115,2,FALSE)</f>
        <v>AR Direct Cash Journal</v>
      </c>
      <c r="J3326" s="412">
        <v>-1000000</v>
      </c>
      <c r="K3326" s="385">
        <v>46043</v>
      </c>
      <c r="L3326" s="369" t="s">
        <v>5364</v>
      </c>
      <c r="M3326" s="390">
        <v>46043.752175925925</v>
      </c>
      <c r="N3326" s="366" t="s">
        <v>2185</v>
      </c>
      <c r="O3326" s="367" t="s">
        <v>358</v>
      </c>
      <c r="P3326" s="367" t="str">
        <f t="shared" ref="P3326:P3337" si="112">IF(J3326&gt;0,"Revenue",IF(J3326&lt;0,"Expense"))</f>
        <v>Expense</v>
      </c>
      <c r="Q3326" s="366" t="s">
        <v>5139</v>
      </c>
      <c r="R3326" s="366" t="s">
        <v>5365</v>
      </c>
      <c r="S3326" s="366">
        <v>160100</v>
      </c>
    </row>
    <row r="3327" spans="1:19" ht="30" hidden="1" outlineLevel="1">
      <c r="B3327" s="384">
        <v>2026</v>
      </c>
      <c r="C3327" s="384">
        <v>7</v>
      </c>
      <c r="D3327" s="367" t="s">
        <v>5</v>
      </c>
      <c r="E3327" s="367" t="s">
        <v>6</v>
      </c>
      <c r="F3327" s="389" t="s">
        <v>5359</v>
      </c>
      <c r="G3327" s="385">
        <v>46042</v>
      </c>
      <c r="H3327" s="367" t="s">
        <v>11</v>
      </c>
      <c r="I3327" s="368" t="str">
        <f>VLOOKUP(H3327,'Source Codes'!A$2:B$115,2,FALSE)</f>
        <v>AR Payments</v>
      </c>
      <c r="J3327" s="412">
        <v>1013170.06</v>
      </c>
      <c r="K3327" s="385">
        <v>46043</v>
      </c>
      <c r="L3327" s="369" t="s">
        <v>5366</v>
      </c>
      <c r="M3327" s="390">
        <v>46043.752175925925</v>
      </c>
      <c r="N3327" s="366" t="s">
        <v>2185</v>
      </c>
      <c r="O3327" s="367" t="s">
        <v>5367</v>
      </c>
      <c r="P3327" s="367" t="str">
        <f t="shared" si="112"/>
        <v>Revenue</v>
      </c>
      <c r="Q3327" s="366" t="s">
        <v>5368</v>
      </c>
      <c r="R3327" s="366" t="s">
        <v>5368</v>
      </c>
      <c r="S3327" s="366">
        <v>118501</v>
      </c>
    </row>
    <row r="3328" spans="1:19" ht="15" hidden="1" outlineLevel="1">
      <c r="B3328" s="384">
        <v>2026</v>
      </c>
      <c r="C3328" s="384">
        <v>7</v>
      </c>
      <c r="D3328" s="367" t="s">
        <v>5</v>
      </c>
      <c r="E3328" s="367" t="s">
        <v>6</v>
      </c>
      <c r="F3328" s="389" t="s">
        <v>5360</v>
      </c>
      <c r="G3328" s="385">
        <v>46023</v>
      </c>
      <c r="H3328" s="367" t="s">
        <v>9</v>
      </c>
      <c r="I3328" s="368" t="str">
        <f>VLOOKUP(H3328,'Source Codes'!A$2:B$115,2,FALSE)</f>
        <v>On Line Journal Entries</v>
      </c>
      <c r="J3328" s="412">
        <v>-1712372.49</v>
      </c>
      <c r="K3328" s="385">
        <v>46043</v>
      </c>
      <c r="L3328" s="369" t="s">
        <v>5362</v>
      </c>
      <c r="M3328" s="390">
        <v>46043.871203703704</v>
      </c>
      <c r="N3328" s="366" t="s">
        <v>356</v>
      </c>
      <c r="O3328" s="367" t="s">
        <v>373</v>
      </c>
      <c r="P3328" s="367" t="str">
        <f t="shared" si="112"/>
        <v>Expense</v>
      </c>
      <c r="Q3328" s="366" t="s">
        <v>2476</v>
      </c>
      <c r="R3328" s="366" t="s">
        <v>5369</v>
      </c>
      <c r="S3328" s="366">
        <v>520945</v>
      </c>
    </row>
    <row r="3329" spans="1:19" ht="15" hidden="1" outlineLevel="1">
      <c r="B3329" s="384">
        <v>2026</v>
      </c>
      <c r="C3329" s="384">
        <v>7</v>
      </c>
      <c r="D3329" s="367" t="s">
        <v>5</v>
      </c>
      <c r="E3329" s="367" t="s">
        <v>6</v>
      </c>
      <c r="F3329" s="389" t="s">
        <v>5361</v>
      </c>
      <c r="G3329" s="385">
        <v>46023</v>
      </c>
      <c r="H3329" s="367" t="s">
        <v>9</v>
      </c>
      <c r="I3329" s="368" t="str">
        <f>VLOOKUP(H3329,'Source Codes'!A$2:B$115,2,FALSE)</f>
        <v>On Line Journal Entries</v>
      </c>
      <c r="J3329" s="412">
        <v>-4444115.4000000004</v>
      </c>
      <c r="K3329" s="385">
        <v>46043</v>
      </c>
      <c r="L3329" s="369" t="s">
        <v>5363</v>
      </c>
      <c r="M3329" s="390">
        <v>46043.871203703704</v>
      </c>
      <c r="N3329" s="366" t="s">
        <v>356</v>
      </c>
      <c r="O3329" s="367" t="s">
        <v>373</v>
      </c>
      <c r="P3329" s="367" t="str">
        <f t="shared" si="112"/>
        <v>Expense</v>
      </c>
      <c r="Q3329" s="366" t="s">
        <v>2517</v>
      </c>
      <c r="R3329" s="366" t="s">
        <v>5370</v>
      </c>
      <c r="S3329" s="366">
        <v>517000</v>
      </c>
    </row>
    <row r="3330" spans="1:19" ht="15" collapsed="1">
      <c r="I3330" s="368"/>
      <c r="J3330" s="413">
        <f>SUM(J3326:J3329)</f>
        <v>-6143317.8300000001</v>
      </c>
      <c r="P3330" s="367"/>
    </row>
    <row r="3331" spans="1:19" ht="12.75" customHeight="1">
      <c r="I3331" s="368"/>
      <c r="P3331" s="367"/>
    </row>
    <row r="3332" spans="1:19" ht="12.75" customHeight="1">
      <c r="A3332" s="378" t="s">
        <v>5371</v>
      </c>
      <c r="I3332" s="368"/>
      <c r="P3332" s="367"/>
    </row>
    <row r="3333" spans="1:19" ht="30" hidden="1" outlineLevel="1">
      <c r="B3333" s="384">
        <v>2026</v>
      </c>
      <c r="C3333" s="384">
        <v>7</v>
      </c>
      <c r="D3333" s="367" t="s">
        <v>5</v>
      </c>
      <c r="E3333" s="367" t="s">
        <v>6</v>
      </c>
      <c r="F3333" s="389" t="s">
        <v>5372</v>
      </c>
      <c r="G3333" s="385">
        <v>46048</v>
      </c>
      <c r="H3333" s="367" t="s">
        <v>14</v>
      </c>
      <c r="I3333" s="368" t="str">
        <f>VLOOKUP(H3333,'Source Codes'!A$2:B$115,2,FALSE)</f>
        <v>AP Warrant Issuance</v>
      </c>
      <c r="J3333" s="412">
        <v>-6166393.9699999997</v>
      </c>
      <c r="K3333" s="385">
        <v>46044</v>
      </c>
      <c r="L3333" s="369" t="s">
        <v>5375</v>
      </c>
      <c r="M3333" s="390">
        <v>46044.758946759262</v>
      </c>
      <c r="N3333" s="366" t="s">
        <v>356</v>
      </c>
      <c r="O3333" s="367" t="s">
        <v>368</v>
      </c>
      <c r="P3333" s="367" t="str">
        <f t="shared" si="112"/>
        <v>Expense</v>
      </c>
      <c r="Q3333" s="366" t="s">
        <v>2154</v>
      </c>
      <c r="R3333" s="366" t="s">
        <v>2154</v>
      </c>
      <c r="S3333" s="366" t="s">
        <v>203</v>
      </c>
    </row>
    <row r="3334" spans="1:19" ht="30" hidden="1" outlineLevel="1">
      <c r="B3334" s="384">
        <v>2026</v>
      </c>
      <c r="C3334" s="384">
        <v>7</v>
      </c>
      <c r="D3334" s="367" t="s">
        <v>5</v>
      </c>
      <c r="E3334" s="367" t="s">
        <v>6</v>
      </c>
      <c r="F3334" s="389" t="s">
        <v>5373</v>
      </c>
      <c r="G3334" s="385">
        <v>46044</v>
      </c>
      <c r="H3334" s="367" t="s">
        <v>14</v>
      </c>
      <c r="I3334" s="368" t="str">
        <f>VLOOKUP(H3334,'Source Codes'!A$2:B$115,2,FALSE)</f>
        <v>AP Warrant Issuance</v>
      </c>
      <c r="J3334" s="412">
        <v>-2504719.59</v>
      </c>
      <c r="K3334" s="385">
        <v>46044</v>
      </c>
      <c r="L3334" s="369" t="s">
        <v>5376</v>
      </c>
      <c r="M3334" s="390">
        <v>46044.758946759262</v>
      </c>
      <c r="N3334" s="366" t="s">
        <v>356</v>
      </c>
      <c r="O3334" s="367" t="s">
        <v>368</v>
      </c>
      <c r="P3334" s="367" t="str">
        <f t="shared" si="112"/>
        <v>Expense</v>
      </c>
      <c r="Q3334" s="366" t="s">
        <v>2154</v>
      </c>
      <c r="R3334" s="366" t="s">
        <v>2154</v>
      </c>
      <c r="S3334" s="366" t="s">
        <v>203</v>
      </c>
    </row>
    <row r="3335" spans="1:19" ht="60" hidden="1" outlineLevel="1">
      <c r="B3335" s="384">
        <v>2026</v>
      </c>
      <c r="C3335" s="384">
        <v>7</v>
      </c>
      <c r="D3335" s="367" t="s">
        <v>5</v>
      </c>
      <c r="E3335" s="367" t="s">
        <v>6</v>
      </c>
      <c r="F3335" s="389" t="s">
        <v>5374</v>
      </c>
      <c r="G3335" s="385">
        <v>46048</v>
      </c>
      <c r="H3335" s="367" t="s">
        <v>14</v>
      </c>
      <c r="I3335" s="368" t="str">
        <f>VLOOKUP(H3335,'Source Codes'!A$2:B$115,2,FALSE)</f>
        <v>AP Warrant Issuance</v>
      </c>
      <c r="J3335" s="412">
        <v>-2435572.7400000002</v>
      </c>
      <c r="K3335" s="385">
        <v>46044</v>
      </c>
      <c r="L3335" s="369" t="s">
        <v>5378</v>
      </c>
      <c r="M3335" s="390">
        <v>46044.758946759262</v>
      </c>
      <c r="N3335" s="366" t="s">
        <v>356</v>
      </c>
      <c r="O3335" s="367" t="s">
        <v>357</v>
      </c>
      <c r="P3335" s="367" t="str">
        <f t="shared" si="112"/>
        <v>Expense</v>
      </c>
      <c r="Q3335" s="366" t="s">
        <v>2309</v>
      </c>
      <c r="R3335" s="366" t="s">
        <v>2310</v>
      </c>
      <c r="S3335" s="366" t="s">
        <v>5377</v>
      </c>
    </row>
    <row r="3336" spans="1:19" ht="45" hidden="1" outlineLevel="1">
      <c r="B3336" s="384">
        <v>2026</v>
      </c>
      <c r="C3336" s="384">
        <v>7</v>
      </c>
      <c r="D3336" s="367" t="s">
        <v>5</v>
      </c>
      <c r="E3336" s="367" t="s">
        <v>6</v>
      </c>
      <c r="F3336" s="389" t="s">
        <v>5379</v>
      </c>
      <c r="G3336" s="385">
        <v>46035</v>
      </c>
      <c r="H3336" s="367" t="s">
        <v>12</v>
      </c>
      <c r="I3336" s="368" t="str">
        <f>VLOOKUP(H3336,'Source Codes'!A$2:B$115,2,FALSE)</f>
        <v>AR Direct Cash Journal</v>
      </c>
      <c r="J3336" s="412">
        <v>2709930.26</v>
      </c>
      <c r="K3336" s="385">
        <v>46044</v>
      </c>
      <c r="L3336" s="369" t="s">
        <v>5383</v>
      </c>
      <c r="M3336" s="390">
        <v>46044.752291666664</v>
      </c>
      <c r="N3336" s="366" t="s">
        <v>361</v>
      </c>
      <c r="O3336" s="367" t="s">
        <v>368</v>
      </c>
      <c r="P3336" s="367" t="str">
        <f t="shared" si="112"/>
        <v>Revenue</v>
      </c>
      <c r="Q3336" s="366" t="s">
        <v>2177</v>
      </c>
      <c r="R3336" s="366" t="s">
        <v>3123</v>
      </c>
      <c r="S3336" s="366">
        <v>767210</v>
      </c>
    </row>
    <row r="3337" spans="1:19" ht="30" hidden="1" outlineLevel="1">
      <c r="B3337" s="384">
        <v>2026</v>
      </c>
      <c r="C3337" s="384">
        <v>7</v>
      </c>
      <c r="D3337" s="367" t="s">
        <v>5</v>
      </c>
      <c r="E3337" s="367" t="s">
        <v>6</v>
      </c>
      <c r="F3337" s="389" t="s">
        <v>5380</v>
      </c>
      <c r="G3337" s="385">
        <v>46038</v>
      </c>
      <c r="H3337" s="367" t="s">
        <v>8</v>
      </c>
      <c r="I3337" s="368" t="str">
        <f>VLOOKUP(H3337,'Source Codes'!A$2:B$115,2,FALSE)</f>
        <v>Prch,Cntrl Mail,Flt,Prntg,Sply</v>
      </c>
      <c r="J3337" s="412">
        <v>-2721049.43</v>
      </c>
      <c r="K3337" s="385">
        <v>46044</v>
      </c>
      <c r="L3337" s="369" t="s">
        <v>5381</v>
      </c>
      <c r="M3337" s="390">
        <v>46044.389398148145</v>
      </c>
      <c r="N3337" s="366" t="s">
        <v>356</v>
      </c>
      <c r="O3337" s="367" t="s">
        <v>382</v>
      </c>
      <c r="P3337" s="367" t="str">
        <f t="shared" si="112"/>
        <v>Expense</v>
      </c>
      <c r="Q3337" s="366" t="s">
        <v>2328</v>
      </c>
      <c r="R3337" s="366" t="s">
        <v>5382</v>
      </c>
      <c r="S3337" s="366" t="s">
        <v>2535</v>
      </c>
    </row>
    <row r="3338" spans="1:19" ht="12.75" customHeight="1" collapsed="1">
      <c r="J3338" s="413">
        <f>SUM(J3333:J3337)</f>
        <v>-11117805.469999999</v>
      </c>
    </row>
    <row r="3340" spans="1:19" ht="12.75" customHeight="1">
      <c r="A3340" s="378" t="s">
        <v>5384</v>
      </c>
    </row>
    <row r="3341" spans="1:19" ht="30" hidden="1" outlineLevel="1">
      <c r="B3341" s="384">
        <v>2026</v>
      </c>
      <c r="C3341" s="384">
        <v>7</v>
      </c>
      <c r="D3341" s="367" t="s">
        <v>5</v>
      </c>
      <c r="E3341" s="367" t="s">
        <v>6</v>
      </c>
      <c r="F3341" s="389" t="s">
        <v>5385</v>
      </c>
      <c r="G3341" s="385">
        <v>46045</v>
      </c>
      <c r="H3341" s="367" t="s">
        <v>14</v>
      </c>
      <c r="I3341" s="368" t="str">
        <f>VLOOKUP(H3341,'Source Codes'!A$2:B$115,2,FALSE)</f>
        <v>AP Warrant Issuance</v>
      </c>
      <c r="J3341" s="412">
        <v>-1662132.4</v>
      </c>
      <c r="K3341" s="385">
        <v>46045</v>
      </c>
      <c r="L3341" s="369" t="s">
        <v>5389</v>
      </c>
      <c r="M3341" s="390">
        <v>46045.757303240738</v>
      </c>
      <c r="N3341" s="366" t="s">
        <v>356</v>
      </c>
      <c r="O3341" s="367" t="s">
        <v>368</v>
      </c>
      <c r="P3341" s="367" t="str">
        <f t="shared" ref="P3341:P3342" si="113">IF(J3341&gt;0,"Revenue",IF(J3341&lt;0,"Expense"))</f>
        <v>Expense</v>
      </c>
      <c r="Q3341" s="366" t="s">
        <v>2154</v>
      </c>
      <c r="R3341" s="366" t="s">
        <v>2154</v>
      </c>
      <c r="S3341" s="366" t="s">
        <v>203</v>
      </c>
    </row>
    <row r="3342" spans="1:19" ht="15" hidden="1" outlineLevel="1">
      <c r="B3342" s="384">
        <v>2026</v>
      </c>
      <c r="C3342" s="384">
        <v>7</v>
      </c>
      <c r="D3342" s="367" t="s">
        <v>5</v>
      </c>
      <c r="E3342" s="367" t="s">
        <v>6</v>
      </c>
      <c r="F3342" s="389" t="s">
        <v>5386</v>
      </c>
      <c r="G3342" s="385">
        <v>46045</v>
      </c>
      <c r="H3342" s="367" t="s">
        <v>110</v>
      </c>
      <c r="I3342" s="368" t="str">
        <f>VLOOKUP(H3342,'Source Codes'!A$2:B$115,2,FALSE)</f>
        <v>Treasurers Interest Apportion</v>
      </c>
      <c r="J3342" s="412">
        <v>1494236.09</v>
      </c>
      <c r="K3342" s="385">
        <v>46045</v>
      </c>
      <c r="L3342" s="369" t="s">
        <v>5387</v>
      </c>
      <c r="M3342" s="390">
        <v>46045.455601851849</v>
      </c>
      <c r="N3342" s="368" t="s">
        <v>361</v>
      </c>
      <c r="O3342" s="368" t="s">
        <v>371</v>
      </c>
      <c r="P3342" s="367" t="str">
        <f t="shared" si="113"/>
        <v>Revenue</v>
      </c>
      <c r="Q3342" s="366" t="s">
        <v>2363</v>
      </c>
      <c r="R3342" s="366" t="s">
        <v>5388</v>
      </c>
      <c r="S3342" s="366">
        <v>740020</v>
      </c>
    </row>
    <row r="3343" spans="1:19" ht="12.75" customHeight="1" collapsed="1">
      <c r="J3343" s="413">
        <f>SUM(J3341:J3342)</f>
        <v>-167896.30999999982</v>
      </c>
    </row>
    <row r="3345" spans="1:19" ht="12.75" customHeight="1">
      <c r="A3345" s="378" t="s">
        <v>5390</v>
      </c>
    </row>
    <row r="3346" spans="1:19" ht="30" hidden="1" outlineLevel="1">
      <c r="B3346" s="384">
        <v>2026</v>
      </c>
      <c r="C3346" s="384">
        <v>7</v>
      </c>
      <c r="D3346" s="367" t="s">
        <v>5</v>
      </c>
      <c r="E3346" s="367" t="s">
        <v>6</v>
      </c>
      <c r="F3346" s="389" t="s">
        <v>5391</v>
      </c>
      <c r="G3346" s="385">
        <v>46048</v>
      </c>
      <c r="H3346" s="367" t="s">
        <v>11</v>
      </c>
      <c r="I3346" s="368" t="str">
        <f>VLOOKUP(H3346,'Source Codes'!A$2:B$115,2,FALSE)</f>
        <v>AR Payments</v>
      </c>
      <c r="J3346" s="412">
        <v>1923266.38</v>
      </c>
      <c r="K3346" s="385">
        <v>46048</v>
      </c>
      <c r="L3346" s="369" t="s">
        <v>5395</v>
      </c>
      <c r="M3346" s="390">
        <v>46048.752118055556</v>
      </c>
      <c r="N3346" s="366" t="s">
        <v>359</v>
      </c>
      <c r="O3346" s="367" t="s">
        <v>357</v>
      </c>
      <c r="P3346" s="367" t="str">
        <f t="shared" ref="P3346:P3348" si="114">IF(J3346&gt;0,"Revenue",IF(J3346&lt;0,"Expense"))</f>
        <v>Revenue</v>
      </c>
      <c r="Q3346" s="366" t="s">
        <v>2157</v>
      </c>
      <c r="R3346" s="366" t="s">
        <v>2157</v>
      </c>
      <c r="S3346" s="366">
        <v>118501</v>
      </c>
    </row>
    <row r="3347" spans="1:19" ht="45" hidden="1" outlineLevel="1">
      <c r="B3347" s="384">
        <v>2026</v>
      </c>
      <c r="C3347" s="384">
        <v>7</v>
      </c>
      <c r="D3347" s="367" t="s">
        <v>5</v>
      </c>
      <c r="E3347" s="367" t="s">
        <v>6</v>
      </c>
      <c r="F3347" s="389" t="s">
        <v>5392</v>
      </c>
      <c r="G3347" s="385">
        <v>46044</v>
      </c>
      <c r="H3347" s="367" t="s">
        <v>11</v>
      </c>
      <c r="I3347" s="368" t="str">
        <f>VLOOKUP(H3347,'Source Codes'!A$2:B$115,2,FALSE)</f>
        <v>AR Payments</v>
      </c>
      <c r="J3347" s="412">
        <v>4744100.99</v>
      </c>
      <c r="K3347" s="385">
        <v>46048</v>
      </c>
      <c r="L3347" s="369" t="s">
        <v>5394</v>
      </c>
      <c r="M3347" s="390">
        <v>46048.752118055556</v>
      </c>
      <c r="N3347" s="366" t="s">
        <v>359</v>
      </c>
      <c r="O3347" s="367" t="s">
        <v>357</v>
      </c>
      <c r="P3347" s="367" t="str">
        <f t="shared" si="114"/>
        <v>Revenue</v>
      </c>
      <c r="Q3347" s="366" t="s">
        <v>2157</v>
      </c>
      <c r="R3347" s="366" t="s">
        <v>2157</v>
      </c>
      <c r="S3347" s="366" t="s">
        <v>2231</v>
      </c>
    </row>
    <row r="3348" spans="1:19" ht="15" hidden="1" outlineLevel="1">
      <c r="B3348" s="384">
        <v>2026</v>
      </c>
      <c r="C3348" s="384">
        <v>7</v>
      </c>
      <c r="D3348" s="367" t="s">
        <v>5</v>
      </c>
      <c r="E3348" s="367" t="s">
        <v>6</v>
      </c>
      <c r="F3348" s="389" t="s">
        <v>5393</v>
      </c>
      <c r="G3348" s="385">
        <v>46044</v>
      </c>
      <c r="H3348" s="367" t="s">
        <v>7</v>
      </c>
      <c r="I3348" s="368" t="str">
        <f>VLOOKUP(H3348,'Source Codes'!A$2:B$115,2,FALSE)</f>
        <v>HRMS Interface Journals</v>
      </c>
      <c r="J3348" s="412">
        <v>-3980960.35</v>
      </c>
      <c r="K3348" s="385">
        <v>46048</v>
      </c>
      <c r="L3348" s="369" t="s">
        <v>406</v>
      </c>
      <c r="M3348" s="390">
        <v>46048.322060185186</v>
      </c>
      <c r="N3348" s="366" t="s">
        <v>378</v>
      </c>
      <c r="O3348" s="367" t="s">
        <v>371</v>
      </c>
      <c r="P3348" s="367" t="str">
        <f t="shared" si="114"/>
        <v>Expense</v>
      </c>
      <c r="Q3348" s="366" t="s">
        <v>379</v>
      </c>
      <c r="R3348" s="366" t="s">
        <v>5396</v>
      </c>
      <c r="S3348" s="366">
        <v>510200</v>
      </c>
    </row>
    <row r="3349" spans="1:19" ht="15" collapsed="1">
      <c r="J3349" s="413">
        <f>SUM(J3346:J3348)</f>
        <v>2686407.02</v>
      </c>
    </row>
    <row r="3351" spans="1:19" ht="12.75" customHeight="1">
      <c r="A3351" s="378" t="s">
        <v>5397</v>
      </c>
    </row>
    <row r="3352" spans="1:19" ht="45" hidden="1" outlineLevel="1">
      <c r="B3352" s="384">
        <v>2026</v>
      </c>
      <c r="C3352" s="384">
        <v>7</v>
      </c>
      <c r="D3352" s="367" t="s">
        <v>5</v>
      </c>
      <c r="E3352" s="367" t="s">
        <v>6</v>
      </c>
      <c r="F3352" s="389" t="s">
        <v>5398</v>
      </c>
      <c r="G3352" s="385">
        <v>46049</v>
      </c>
      <c r="H3352" s="367" t="s">
        <v>14</v>
      </c>
      <c r="I3352" s="368" t="str">
        <f>VLOOKUP(H3352,'Source Codes'!A$2:B$115,2,FALSE)</f>
        <v>AP Warrant Issuance</v>
      </c>
      <c r="J3352" s="412">
        <v>-1916233.8</v>
      </c>
      <c r="K3352" s="385">
        <v>46049</v>
      </c>
      <c r="L3352" s="369" t="s">
        <v>5423</v>
      </c>
      <c r="M3352" s="390">
        <v>46049.757592592592</v>
      </c>
      <c r="N3352" s="366" t="s">
        <v>356</v>
      </c>
      <c r="O3352" s="367" t="s">
        <v>368</v>
      </c>
      <c r="P3352" s="367" t="str">
        <f t="shared" ref="P3352:P3368" si="115">IF(J3352&gt;0,"Revenue",IF(J3352&lt;0,"Expense"))</f>
        <v>Expense</v>
      </c>
      <c r="Q3352" s="366" t="s">
        <v>2154</v>
      </c>
      <c r="R3352" s="366" t="s">
        <v>2154</v>
      </c>
      <c r="S3352" s="366">
        <v>530280</v>
      </c>
    </row>
    <row r="3353" spans="1:19" ht="30" hidden="1" outlineLevel="1">
      <c r="B3353" s="384">
        <v>2026</v>
      </c>
      <c r="C3353" s="384">
        <v>7</v>
      </c>
      <c r="D3353" s="367" t="s">
        <v>5</v>
      </c>
      <c r="E3353" s="367" t="s">
        <v>6</v>
      </c>
      <c r="F3353" s="389" t="s">
        <v>5399</v>
      </c>
      <c r="G3353" s="385">
        <v>46051</v>
      </c>
      <c r="H3353" s="367" t="s">
        <v>14</v>
      </c>
      <c r="I3353" s="368" t="str">
        <f>VLOOKUP(H3353,'Source Codes'!A$2:B$115,2,FALSE)</f>
        <v>AP Warrant Issuance</v>
      </c>
      <c r="J3353" s="412">
        <v>-1570526.03</v>
      </c>
      <c r="K3353" s="385">
        <v>46049</v>
      </c>
      <c r="L3353" s="369" t="s">
        <v>5422</v>
      </c>
      <c r="M3353" s="390">
        <v>46049.757592592592</v>
      </c>
      <c r="N3353" s="366" t="s">
        <v>356</v>
      </c>
      <c r="O3353" s="367" t="s">
        <v>368</v>
      </c>
      <c r="P3353" s="367" t="str">
        <f t="shared" si="115"/>
        <v>Expense</v>
      </c>
      <c r="Q3353" s="366" t="s">
        <v>2154</v>
      </c>
      <c r="R3353" s="366" t="s">
        <v>2154</v>
      </c>
      <c r="S3353" s="366" t="s">
        <v>203</v>
      </c>
    </row>
    <row r="3354" spans="1:19" ht="45" hidden="1" outlineLevel="1">
      <c r="B3354" s="384">
        <v>2026</v>
      </c>
      <c r="C3354" s="384">
        <v>7</v>
      </c>
      <c r="D3354" s="367" t="s">
        <v>5</v>
      </c>
      <c r="E3354" s="367" t="s">
        <v>6</v>
      </c>
      <c r="F3354" s="389" t="s">
        <v>5400</v>
      </c>
      <c r="G3354" s="385">
        <v>46049</v>
      </c>
      <c r="H3354" s="367" t="s">
        <v>12</v>
      </c>
      <c r="I3354" s="368" t="str">
        <f>VLOOKUP(H3354,'Source Codes'!A$2:B$115,2,FALSE)</f>
        <v>AR Direct Cash Journal</v>
      </c>
      <c r="J3354" s="412">
        <v>6192418.3200000003</v>
      </c>
      <c r="K3354" s="385">
        <v>46049</v>
      </c>
      <c r="L3354" s="369" t="s">
        <v>5425</v>
      </c>
      <c r="M3354" s="390">
        <v>46049.752245370371</v>
      </c>
      <c r="N3354" s="368" t="s">
        <v>359</v>
      </c>
      <c r="O3354" s="367" t="s">
        <v>371</v>
      </c>
      <c r="P3354" s="367" t="str">
        <f t="shared" si="115"/>
        <v>Revenue</v>
      </c>
      <c r="Q3354" s="366" t="s">
        <v>2316</v>
      </c>
      <c r="R3354" s="366" t="s">
        <v>4856</v>
      </c>
      <c r="S3354" s="366" t="s">
        <v>5424</v>
      </c>
    </row>
    <row r="3355" spans="1:19" ht="90" hidden="1" outlineLevel="1">
      <c r="B3355" s="384">
        <v>2026</v>
      </c>
      <c r="C3355" s="384">
        <v>7</v>
      </c>
      <c r="D3355" s="367" t="s">
        <v>5</v>
      </c>
      <c r="E3355" s="367" t="s">
        <v>6</v>
      </c>
      <c r="F3355" s="389" t="s">
        <v>5401</v>
      </c>
      <c r="G3355" s="385">
        <v>46034</v>
      </c>
      <c r="H3355" s="367" t="s">
        <v>11</v>
      </c>
      <c r="I3355" s="368" t="str">
        <f>VLOOKUP(H3355,'Source Codes'!A$2:B$115,2,FALSE)</f>
        <v>AR Payments</v>
      </c>
      <c r="J3355" s="412">
        <v>1082994.1599999999</v>
      </c>
      <c r="K3355" s="385">
        <v>46049</v>
      </c>
      <c r="L3355" s="369" t="s">
        <v>5426</v>
      </c>
      <c r="M3355" s="390">
        <v>46049.752245370371</v>
      </c>
      <c r="N3355" s="366" t="s">
        <v>359</v>
      </c>
      <c r="O3355" s="367" t="s">
        <v>357</v>
      </c>
      <c r="P3355" s="367" t="str">
        <f t="shared" si="115"/>
        <v>Revenue</v>
      </c>
      <c r="Q3355" s="366" t="s">
        <v>2157</v>
      </c>
      <c r="R3355" s="366" t="s">
        <v>2157</v>
      </c>
      <c r="S3355" s="366" t="s">
        <v>2531</v>
      </c>
    </row>
    <row r="3356" spans="1:19" ht="60" hidden="1" outlineLevel="1">
      <c r="B3356" s="384">
        <v>2026</v>
      </c>
      <c r="C3356" s="384">
        <v>7</v>
      </c>
      <c r="D3356" s="367" t="s">
        <v>5</v>
      </c>
      <c r="E3356" s="367" t="s">
        <v>6</v>
      </c>
      <c r="F3356" s="389" t="s">
        <v>5402</v>
      </c>
      <c r="G3356" s="385">
        <v>46044</v>
      </c>
      <c r="H3356" s="367" t="s">
        <v>16</v>
      </c>
      <c r="I3356" s="368" t="str">
        <f>VLOOKUP(H3356,'Source Codes'!A$2:B$115,2,FALSE)</f>
        <v>Property Tax Interface</v>
      </c>
      <c r="J3356" s="412">
        <v>97808147.189999998</v>
      </c>
      <c r="K3356" s="385">
        <v>46049</v>
      </c>
      <c r="L3356" s="369" t="s">
        <v>5415</v>
      </c>
      <c r="M3356" s="390">
        <v>46049.922986111109</v>
      </c>
      <c r="N3356" s="368" t="s">
        <v>361</v>
      </c>
      <c r="O3356" s="368" t="s">
        <v>384</v>
      </c>
      <c r="P3356" s="367" t="str">
        <f t="shared" si="115"/>
        <v>Revenue</v>
      </c>
      <c r="Q3356" s="366" t="s">
        <v>2199</v>
      </c>
      <c r="R3356" s="366" t="s">
        <v>5427</v>
      </c>
      <c r="S3356" s="366" t="s">
        <v>5428</v>
      </c>
    </row>
    <row r="3357" spans="1:19" ht="30" hidden="1" outlineLevel="1">
      <c r="B3357" s="384">
        <v>2026</v>
      </c>
      <c r="C3357" s="384">
        <v>7</v>
      </c>
      <c r="D3357" s="367" t="s">
        <v>5</v>
      </c>
      <c r="E3357" s="367" t="s">
        <v>6</v>
      </c>
      <c r="F3357" s="389" t="s">
        <v>5403</v>
      </c>
      <c r="G3357" s="385">
        <v>46037</v>
      </c>
      <c r="H3357" s="367" t="s">
        <v>9</v>
      </c>
      <c r="I3357" s="368" t="str">
        <f>VLOOKUP(H3357,'Source Codes'!A$2:B$115,2,FALSE)</f>
        <v>On Line Journal Entries</v>
      </c>
      <c r="J3357" s="412">
        <v>8226196</v>
      </c>
      <c r="K3357" s="385">
        <v>46049</v>
      </c>
      <c r="L3357" s="369" t="s">
        <v>344</v>
      </c>
      <c r="M3357" s="390">
        <v>46049.870405092595</v>
      </c>
      <c r="N3357" s="366" t="s">
        <v>356</v>
      </c>
      <c r="O3357" s="367" t="s">
        <v>364</v>
      </c>
      <c r="P3357" s="367" t="str">
        <f t="shared" si="115"/>
        <v>Revenue</v>
      </c>
      <c r="Q3357" s="366" t="s">
        <v>2232</v>
      </c>
      <c r="R3357" s="366" t="s">
        <v>2232</v>
      </c>
      <c r="S3357" s="366" t="s">
        <v>2533</v>
      </c>
    </row>
    <row r="3358" spans="1:19" ht="30" hidden="1" outlineLevel="1">
      <c r="B3358" s="384">
        <v>2026</v>
      </c>
      <c r="C3358" s="384">
        <v>7</v>
      </c>
      <c r="D3358" s="367" t="s">
        <v>5</v>
      </c>
      <c r="E3358" s="367" t="s">
        <v>6</v>
      </c>
      <c r="F3358" s="389" t="s">
        <v>5404</v>
      </c>
      <c r="G3358" s="385">
        <v>46036</v>
      </c>
      <c r="H3358" s="367" t="s">
        <v>9</v>
      </c>
      <c r="I3358" s="368" t="str">
        <f>VLOOKUP(H3358,'Source Codes'!A$2:B$115,2,FALSE)</f>
        <v>On Line Journal Entries</v>
      </c>
      <c r="J3358" s="412">
        <v>5138362</v>
      </c>
      <c r="K3358" s="385">
        <v>46049</v>
      </c>
      <c r="L3358" s="369" t="s">
        <v>334</v>
      </c>
      <c r="M3358" s="390">
        <v>46049.870405092595</v>
      </c>
      <c r="N3358" s="366" t="s">
        <v>356</v>
      </c>
      <c r="O3358" s="367" t="s">
        <v>364</v>
      </c>
      <c r="P3358" s="367" t="str">
        <f t="shared" si="115"/>
        <v>Revenue</v>
      </c>
      <c r="Q3358" s="366" t="s">
        <v>2232</v>
      </c>
      <c r="R3358" s="366" t="s">
        <v>2232</v>
      </c>
      <c r="S3358" s="366">
        <v>750741</v>
      </c>
    </row>
    <row r="3359" spans="1:19" ht="30" hidden="1" outlineLevel="1">
      <c r="B3359" s="384">
        <v>2026</v>
      </c>
      <c r="C3359" s="384">
        <v>7</v>
      </c>
      <c r="D3359" s="367" t="s">
        <v>5</v>
      </c>
      <c r="E3359" s="367" t="s">
        <v>6</v>
      </c>
      <c r="F3359" s="389" t="s">
        <v>5405</v>
      </c>
      <c r="G3359" s="385">
        <v>46045</v>
      </c>
      <c r="H3359" s="367" t="s">
        <v>9</v>
      </c>
      <c r="I3359" s="368" t="str">
        <f>VLOOKUP(H3359,'Source Codes'!A$2:B$115,2,FALSE)</f>
        <v>On Line Journal Entries</v>
      </c>
      <c r="J3359" s="412">
        <v>4352467</v>
      </c>
      <c r="K3359" s="385">
        <v>46049</v>
      </c>
      <c r="L3359" s="369" t="s">
        <v>5416</v>
      </c>
      <c r="M3359" s="390">
        <v>46049.870405092595</v>
      </c>
      <c r="N3359" s="366" t="s">
        <v>359</v>
      </c>
      <c r="O3359" s="367" t="s">
        <v>369</v>
      </c>
      <c r="P3359" s="367" t="str">
        <f t="shared" si="115"/>
        <v>Revenue</v>
      </c>
      <c r="Q3359" s="366" t="s">
        <v>2268</v>
      </c>
      <c r="R3359" s="365">
        <v>46049</v>
      </c>
      <c r="S3359" s="366" t="s">
        <v>4726</v>
      </c>
    </row>
    <row r="3360" spans="1:19" ht="30" hidden="1" outlineLevel="1">
      <c r="B3360" s="384">
        <v>2026</v>
      </c>
      <c r="C3360" s="384">
        <v>7</v>
      </c>
      <c r="D3360" s="367" t="s">
        <v>5</v>
      </c>
      <c r="E3360" s="367" t="s">
        <v>6</v>
      </c>
      <c r="F3360" s="389" t="s">
        <v>5406</v>
      </c>
      <c r="G3360" s="385">
        <v>46037</v>
      </c>
      <c r="H3360" s="367" t="s">
        <v>9</v>
      </c>
      <c r="I3360" s="368" t="str">
        <f>VLOOKUP(H3360,'Source Codes'!A$2:B$115,2,FALSE)</f>
        <v>On Line Journal Entries</v>
      </c>
      <c r="J3360" s="412">
        <v>2455948</v>
      </c>
      <c r="K3360" s="385">
        <v>46049</v>
      </c>
      <c r="L3360" s="369" t="s">
        <v>344</v>
      </c>
      <c r="M3360" s="390">
        <v>46049.870405092595</v>
      </c>
      <c r="N3360" s="366" t="s">
        <v>356</v>
      </c>
      <c r="O3360" s="367" t="s">
        <v>364</v>
      </c>
      <c r="P3360" s="367" t="str">
        <f t="shared" si="115"/>
        <v>Revenue</v>
      </c>
      <c r="Q3360" s="366" t="s">
        <v>2232</v>
      </c>
      <c r="R3360" s="366" t="s">
        <v>2232</v>
      </c>
      <c r="S3360" s="366" t="s">
        <v>2233</v>
      </c>
    </row>
    <row r="3361" spans="1:19" ht="30" hidden="1" outlineLevel="1">
      <c r="B3361" s="384">
        <v>2026</v>
      </c>
      <c r="C3361" s="384">
        <v>7</v>
      </c>
      <c r="D3361" s="367" t="s">
        <v>5</v>
      </c>
      <c r="E3361" s="367" t="s">
        <v>6</v>
      </c>
      <c r="F3361" s="389" t="s">
        <v>5407</v>
      </c>
      <c r="G3361" s="385">
        <v>46044</v>
      </c>
      <c r="H3361" s="367" t="s">
        <v>9</v>
      </c>
      <c r="I3361" s="368" t="str">
        <f>VLOOKUP(H3361,'Source Codes'!A$2:B$115,2,FALSE)</f>
        <v>On Line Journal Entries</v>
      </c>
      <c r="J3361" s="412">
        <v>-1343230.43</v>
      </c>
      <c r="K3361" s="385">
        <v>46049</v>
      </c>
      <c r="L3361" s="369" t="s">
        <v>5417</v>
      </c>
      <c r="M3361" s="390">
        <v>46049.870405092595</v>
      </c>
      <c r="N3361" s="368" t="s">
        <v>2185</v>
      </c>
      <c r="O3361" s="367" t="s">
        <v>367</v>
      </c>
      <c r="P3361" s="367" t="str">
        <f t="shared" si="115"/>
        <v>Expense</v>
      </c>
      <c r="Q3361" s="366" t="s">
        <v>2237</v>
      </c>
      <c r="R3361" s="365" t="s">
        <v>2334</v>
      </c>
      <c r="S3361" s="395" t="s">
        <v>5433</v>
      </c>
    </row>
    <row r="3362" spans="1:19" ht="45" hidden="1" outlineLevel="1">
      <c r="B3362" s="384">
        <v>2026</v>
      </c>
      <c r="C3362" s="384">
        <v>7</v>
      </c>
      <c r="D3362" s="367" t="s">
        <v>5</v>
      </c>
      <c r="E3362" s="367" t="s">
        <v>6</v>
      </c>
      <c r="F3362" s="389" t="s">
        <v>5408</v>
      </c>
      <c r="G3362" s="385">
        <v>46044</v>
      </c>
      <c r="H3362" s="367" t="s">
        <v>9</v>
      </c>
      <c r="I3362" s="368" t="str">
        <f>VLOOKUP(H3362,'Source Codes'!A$2:B$115,2,FALSE)</f>
        <v>On Line Journal Entries</v>
      </c>
      <c r="J3362" s="412">
        <v>-1552415.99</v>
      </c>
      <c r="K3362" s="385">
        <v>46049</v>
      </c>
      <c r="L3362" s="369" t="s">
        <v>5418</v>
      </c>
      <c r="M3362" s="390">
        <v>46049.870405092595</v>
      </c>
      <c r="N3362" s="368" t="s">
        <v>387</v>
      </c>
      <c r="O3362" s="368" t="s">
        <v>533</v>
      </c>
      <c r="P3362" s="367" t="str">
        <f t="shared" si="115"/>
        <v>Expense</v>
      </c>
      <c r="Q3362" s="366" t="s">
        <v>5434</v>
      </c>
      <c r="R3362" s="365" t="s">
        <v>5429</v>
      </c>
      <c r="S3362" s="366">
        <v>524820</v>
      </c>
    </row>
    <row r="3363" spans="1:19" ht="30" hidden="1" outlineLevel="1">
      <c r="B3363" s="384">
        <v>2026</v>
      </c>
      <c r="C3363" s="384">
        <v>7</v>
      </c>
      <c r="D3363" s="367" t="s">
        <v>5</v>
      </c>
      <c r="E3363" s="367" t="s">
        <v>6</v>
      </c>
      <c r="F3363" s="389" t="s">
        <v>5409</v>
      </c>
      <c r="G3363" s="385">
        <v>46044</v>
      </c>
      <c r="H3363" s="367" t="s">
        <v>9</v>
      </c>
      <c r="I3363" s="368" t="str">
        <f>VLOOKUP(H3363,'Source Codes'!A$2:B$115,2,FALSE)</f>
        <v>On Line Journal Entries</v>
      </c>
      <c r="J3363" s="412">
        <v>-1881049.41</v>
      </c>
      <c r="K3363" s="385">
        <v>46049</v>
      </c>
      <c r="L3363" s="369" t="s">
        <v>5419</v>
      </c>
      <c r="M3363" s="390">
        <v>46049.870405092595</v>
      </c>
      <c r="N3363" s="368" t="s">
        <v>2185</v>
      </c>
      <c r="O3363" s="367" t="s">
        <v>367</v>
      </c>
      <c r="P3363" s="367" t="str">
        <f t="shared" si="115"/>
        <v>Expense</v>
      </c>
      <c r="Q3363" s="366" t="s">
        <v>2237</v>
      </c>
      <c r="R3363" s="365" t="s">
        <v>5430</v>
      </c>
      <c r="S3363" s="366">
        <v>522410</v>
      </c>
    </row>
    <row r="3364" spans="1:19" ht="45" hidden="1" outlineLevel="1">
      <c r="B3364" s="384">
        <v>2026</v>
      </c>
      <c r="C3364" s="384">
        <v>7</v>
      </c>
      <c r="D3364" s="367" t="s">
        <v>5</v>
      </c>
      <c r="E3364" s="367" t="s">
        <v>6</v>
      </c>
      <c r="F3364" s="389" t="s">
        <v>5410</v>
      </c>
      <c r="G3364" s="385">
        <v>46036</v>
      </c>
      <c r="H3364" s="367" t="s">
        <v>337</v>
      </c>
      <c r="I3364" s="368" t="str">
        <f>VLOOKUP(H3364,'Source Codes'!A$2:B$115,2,FALSE)</f>
        <v>Facilities Mngmnt Intfc Jrnls</v>
      </c>
      <c r="J3364" s="412">
        <v>-2257888.92</v>
      </c>
      <c r="K3364" s="385">
        <v>46049</v>
      </c>
      <c r="L3364" s="369" t="s">
        <v>5420</v>
      </c>
      <c r="M3364" s="390">
        <v>46049.870555555557</v>
      </c>
      <c r="N3364" s="368" t="s">
        <v>359</v>
      </c>
      <c r="O3364" s="368" t="s">
        <v>367</v>
      </c>
      <c r="P3364" s="367" t="str">
        <f t="shared" si="115"/>
        <v>Expense</v>
      </c>
      <c r="Q3364" s="366" t="s">
        <v>2240</v>
      </c>
      <c r="R3364" s="366" t="s">
        <v>5611</v>
      </c>
      <c r="S3364" s="366" t="s">
        <v>5432</v>
      </c>
    </row>
    <row r="3365" spans="1:19" ht="15" hidden="1" outlineLevel="1">
      <c r="B3365" s="384">
        <v>2026</v>
      </c>
      <c r="C3365" s="384">
        <v>7</v>
      </c>
      <c r="D3365" s="367" t="s">
        <v>5</v>
      </c>
      <c r="E3365" s="367" t="s">
        <v>6</v>
      </c>
      <c r="F3365" s="389" t="s">
        <v>5411</v>
      </c>
      <c r="G3365" s="385">
        <v>46043</v>
      </c>
      <c r="H3365" s="367" t="s">
        <v>7</v>
      </c>
      <c r="I3365" s="368" t="str">
        <f>VLOOKUP(H3365,'Source Codes'!A$2:B$115,2,FALSE)</f>
        <v>HRMS Interface Journals</v>
      </c>
      <c r="J3365" s="412">
        <v>-2692085.93</v>
      </c>
      <c r="K3365" s="385">
        <v>46049</v>
      </c>
      <c r="L3365" s="369" t="s">
        <v>409</v>
      </c>
      <c r="M3365" s="390">
        <v>46049.370046296295</v>
      </c>
      <c r="N3365" s="366" t="s">
        <v>378</v>
      </c>
      <c r="O3365" s="367" t="s">
        <v>379</v>
      </c>
      <c r="P3365" s="367" t="str">
        <f t="shared" si="115"/>
        <v>Expense</v>
      </c>
      <c r="Q3365" s="366" t="s">
        <v>379</v>
      </c>
      <c r="R3365" s="366" t="s">
        <v>5396</v>
      </c>
      <c r="S3365" s="366">
        <v>513120</v>
      </c>
    </row>
    <row r="3366" spans="1:19" ht="30" hidden="1" outlineLevel="1">
      <c r="B3366" s="384">
        <v>2026</v>
      </c>
      <c r="C3366" s="384">
        <v>7</v>
      </c>
      <c r="D3366" s="367" t="s">
        <v>5</v>
      </c>
      <c r="E3366" s="367" t="s">
        <v>6</v>
      </c>
      <c r="F3366" s="389" t="s">
        <v>5412</v>
      </c>
      <c r="G3366" s="385">
        <v>46044</v>
      </c>
      <c r="H3366" s="367" t="s">
        <v>337</v>
      </c>
      <c r="I3366" s="368" t="str">
        <f>VLOOKUP(H3366,'Source Codes'!A$2:B$115,2,FALSE)</f>
        <v>Facilities Mngmnt Intfc Jrnls</v>
      </c>
      <c r="J3366" s="412">
        <v>-4474854.7300000004</v>
      </c>
      <c r="K3366" s="385">
        <v>46049</v>
      </c>
      <c r="L3366" s="369" t="s">
        <v>5421</v>
      </c>
      <c r="M3366" s="390">
        <v>46049.870555555557</v>
      </c>
      <c r="N3366" s="366" t="s">
        <v>359</v>
      </c>
      <c r="O3366" s="367" t="s">
        <v>367</v>
      </c>
      <c r="P3366" s="367" t="str">
        <f t="shared" si="115"/>
        <v>Expense</v>
      </c>
      <c r="Q3366" s="366" t="s">
        <v>2237</v>
      </c>
      <c r="R3366" s="366" t="s">
        <v>5166</v>
      </c>
      <c r="S3366" s="366" t="s">
        <v>2239</v>
      </c>
    </row>
    <row r="3367" spans="1:19" ht="15" hidden="1" outlineLevel="1">
      <c r="B3367" s="384">
        <v>2026</v>
      </c>
      <c r="C3367" s="384">
        <v>7</v>
      </c>
      <c r="D3367" s="367" t="s">
        <v>5</v>
      </c>
      <c r="E3367" s="367" t="s">
        <v>6</v>
      </c>
      <c r="F3367" s="389" t="s">
        <v>5413</v>
      </c>
      <c r="G3367" s="385">
        <v>46043</v>
      </c>
      <c r="H3367" s="367" t="s">
        <v>7</v>
      </c>
      <c r="I3367" s="368" t="str">
        <f>VLOOKUP(H3367,'Source Codes'!A$2:B$115,2,FALSE)</f>
        <v>HRMS Interface Journals</v>
      </c>
      <c r="J3367" s="412">
        <v>-10914847.779999999</v>
      </c>
      <c r="K3367" s="385">
        <v>46049</v>
      </c>
      <c r="L3367" s="369" t="s">
        <v>407</v>
      </c>
      <c r="M3367" s="390">
        <v>46049.358229166668</v>
      </c>
      <c r="N3367" s="366" t="s">
        <v>378</v>
      </c>
      <c r="O3367" s="367" t="s">
        <v>379</v>
      </c>
      <c r="P3367" s="367" t="str">
        <f t="shared" si="115"/>
        <v>Expense</v>
      </c>
      <c r="Q3367" s="366" t="s">
        <v>379</v>
      </c>
      <c r="R3367" s="366" t="s">
        <v>5396</v>
      </c>
      <c r="S3367" s="366" t="s">
        <v>203</v>
      </c>
    </row>
    <row r="3368" spans="1:19" ht="15" hidden="1" outlineLevel="1">
      <c r="B3368" s="384">
        <v>2026</v>
      </c>
      <c r="C3368" s="384">
        <v>7</v>
      </c>
      <c r="D3368" s="367" t="s">
        <v>5</v>
      </c>
      <c r="E3368" s="367" t="s">
        <v>6</v>
      </c>
      <c r="F3368" s="389" t="s">
        <v>5414</v>
      </c>
      <c r="G3368" s="385">
        <v>46043</v>
      </c>
      <c r="H3368" s="367" t="s">
        <v>7</v>
      </c>
      <c r="I3368" s="368" t="str">
        <f>VLOOKUP(H3368,'Source Codes'!A$2:B$115,2,FALSE)</f>
        <v>HRMS Interface Journals</v>
      </c>
      <c r="J3368" s="412">
        <v>-78443439.920000002</v>
      </c>
      <c r="K3368" s="385">
        <v>46049</v>
      </c>
      <c r="L3368" s="369" t="s">
        <v>406</v>
      </c>
      <c r="M3368" s="390">
        <v>46049.361655092594</v>
      </c>
      <c r="N3368" s="366" t="s">
        <v>378</v>
      </c>
      <c r="O3368" s="367" t="s">
        <v>371</v>
      </c>
      <c r="P3368" s="367" t="str">
        <f t="shared" si="115"/>
        <v>Expense</v>
      </c>
      <c r="Q3368" s="366" t="s">
        <v>379</v>
      </c>
      <c r="R3368" s="366" t="s">
        <v>5396</v>
      </c>
      <c r="S3368" s="366" t="s">
        <v>203</v>
      </c>
    </row>
    <row r="3369" spans="1:19" ht="15" collapsed="1">
      <c r="J3369" s="413">
        <f>SUM(J3352:J3368)</f>
        <v>18209959.729999989</v>
      </c>
    </row>
    <row r="3371" spans="1:19" ht="12.75" customHeight="1">
      <c r="A3371" s="378" t="s">
        <v>5435</v>
      </c>
    </row>
    <row r="3372" spans="1:19" ht="30" hidden="1" outlineLevel="1">
      <c r="B3372" s="384">
        <v>2026</v>
      </c>
      <c r="C3372" s="384">
        <v>7</v>
      </c>
      <c r="D3372" s="367" t="s">
        <v>5</v>
      </c>
      <c r="E3372" s="367" t="s">
        <v>6</v>
      </c>
      <c r="F3372" s="389" t="s">
        <v>5436</v>
      </c>
      <c r="G3372" s="385">
        <v>46050</v>
      </c>
      <c r="H3372" s="367" t="s">
        <v>14</v>
      </c>
      <c r="I3372" s="368" t="str">
        <f>VLOOKUP(H3372,'Source Codes'!A$2:B$115,2,FALSE)</f>
        <v>AP Warrant Issuance</v>
      </c>
      <c r="J3372" s="412">
        <v>-1521718.51</v>
      </c>
      <c r="K3372" s="385">
        <v>46050</v>
      </c>
      <c r="L3372" s="369" t="s">
        <v>5455</v>
      </c>
      <c r="M3372" s="390">
        <v>46050.758842592593</v>
      </c>
      <c r="N3372" s="366" t="s">
        <v>356</v>
      </c>
      <c r="O3372" s="367" t="s">
        <v>357</v>
      </c>
      <c r="P3372" s="367" t="str">
        <f t="shared" ref="P3372:P3384" si="116">IF(J3372&gt;0,"Revenue",IF(J3372&lt;0,"Expense"))</f>
        <v>Expense</v>
      </c>
      <c r="Q3372" s="366" t="s">
        <v>2309</v>
      </c>
      <c r="R3372" s="366" t="s">
        <v>2310</v>
      </c>
      <c r="S3372" s="366" t="s">
        <v>203</v>
      </c>
    </row>
    <row r="3373" spans="1:19" ht="60" hidden="1" outlineLevel="1">
      <c r="B3373" s="384">
        <v>2026</v>
      </c>
      <c r="C3373" s="384">
        <v>7</v>
      </c>
      <c r="D3373" s="367" t="s">
        <v>5</v>
      </c>
      <c r="E3373" s="367" t="s">
        <v>6</v>
      </c>
      <c r="F3373" s="389" t="s">
        <v>5437</v>
      </c>
      <c r="G3373" s="385">
        <v>46049</v>
      </c>
      <c r="H3373" s="367" t="s">
        <v>12</v>
      </c>
      <c r="I3373" s="368" t="str">
        <f>VLOOKUP(H3373,'Source Codes'!A$2:B$115,2,FALSE)</f>
        <v>AR Direct Cash Journal</v>
      </c>
      <c r="J3373" s="412">
        <v>2249167.5</v>
      </c>
      <c r="K3373" s="385">
        <v>46050</v>
      </c>
      <c r="L3373" s="369" t="s">
        <v>5473</v>
      </c>
      <c r="M3373" s="390">
        <v>46050.752256944441</v>
      </c>
      <c r="N3373" s="366" t="s">
        <v>359</v>
      </c>
      <c r="O3373" s="367" t="s">
        <v>370</v>
      </c>
      <c r="P3373" s="367" t="str">
        <f t="shared" si="116"/>
        <v>Revenue</v>
      </c>
      <c r="Q3373" s="366" t="s">
        <v>2264</v>
      </c>
      <c r="R3373" s="365" t="s">
        <v>2264</v>
      </c>
      <c r="S3373" s="366" t="s">
        <v>203</v>
      </c>
    </row>
    <row r="3374" spans="1:19" ht="30" hidden="1" outlineLevel="1">
      <c r="B3374" s="384">
        <v>2026</v>
      </c>
      <c r="C3374" s="384">
        <v>7</v>
      </c>
      <c r="D3374" s="367" t="s">
        <v>5</v>
      </c>
      <c r="E3374" s="367" t="s">
        <v>6</v>
      </c>
      <c r="F3374" s="389" t="s">
        <v>5438</v>
      </c>
      <c r="G3374" s="385">
        <v>46043</v>
      </c>
      <c r="H3374" s="367" t="s">
        <v>12</v>
      </c>
      <c r="I3374" s="368" t="str">
        <f>VLOOKUP(H3374,'Source Codes'!A$2:B$115,2,FALSE)</f>
        <v>AR Direct Cash Journal</v>
      </c>
      <c r="J3374" s="412">
        <v>4655147.7</v>
      </c>
      <c r="K3374" s="385">
        <v>46050</v>
      </c>
      <c r="L3374" s="369" t="s">
        <v>5456</v>
      </c>
      <c r="M3374" s="390">
        <v>46050.752256944441</v>
      </c>
      <c r="N3374" s="366" t="s">
        <v>356</v>
      </c>
      <c r="O3374" s="367" t="s">
        <v>362</v>
      </c>
      <c r="P3374" s="367" t="str">
        <f t="shared" si="116"/>
        <v>Revenue</v>
      </c>
      <c r="Q3374" s="366" t="s">
        <v>2360</v>
      </c>
      <c r="R3374" s="365" t="s">
        <v>3049</v>
      </c>
      <c r="S3374" s="366" t="s">
        <v>5457</v>
      </c>
    </row>
    <row r="3375" spans="1:19" ht="46.35" hidden="1" customHeight="1" outlineLevel="1">
      <c r="B3375" s="384">
        <v>2026</v>
      </c>
      <c r="C3375" s="384">
        <v>7</v>
      </c>
      <c r="D3375" s="367" t="s">
        <v>5</v>
      </c>
      <c r="E3375" s="367" t="s">
        <v>6</v>
      </c>
      <c r="F3375" s="389" t="s">
        <v>5439</v>
      </c>
      <c r="G3375" s="385">
        <v>46044</v>
      </c>
      <c r="H3375" s="367" t="s">
        <v>11</v>
      </c>
      <c r="I3375" s="368" t="str">
        <f>VLOOKUP(H3375,'Source Codes'!A$2:B$115,2,FALSE)</f>
        <v>AR Payments</v>
      </c>
      <c r="J3375" s="412">
        <v>1904783.3600000001</v>
      </c>
      <c r="K3375" s="385">
        <v>46050</v>
      </c>
      <c r="L3375" s="369" t="s">
        <v>5458</v>
      </c>
      <c r="M3375" s="390">
        <v>46050.752256944441</v>
      </c>
      <c r="N3375" s="366" t="s">
        <v>359</v>
      </c>
      <c r="O3375" s="367" t="s">
        <v>357</v>
      </c>
      <c r="P3375" s="367" t="str">
        <f t="shared" si="116"/>
        <v>Revenue</v>
      </c>
      <c r="Q3375" s="366" t="s">
        <v>2157</v>
      </c>
      <c r="R3375" s="366" t="s">
        <v>2157</v>
      </c>
      <c r="S3375" s="366" t="s">
        <v>2803</v>
      </c>
    </row>
    <row r="3376" spans="1:19" ht="30" hidden="1" outlineLevel="1">
      <c r="B3376" s="384">
        <v>2026</v>
      </c>
      <c r="C3376" s="384">
        <v>7</v>
      </c>
      <c r="D3376" s="367" t="s">
        <v>5</v>
      </c>
      <c r="E3376" s="367" t="s">
        <v>6</v>
      </c>
      <c r="F3376" s="389" t="s">
        <v>5440</v>
      </c>
      <c r="G3376" s="385">
        <v>46049</v>
      </c>
      <c r="H3376" s="367" t="s">
        <v>9</v>
      </c>
      <c r="I3376" s="368" t="str">
        <f>VLOOKUP(H3376,'Source Codes'!A$2:B$115,2,FALSE)</f>
        <v>On Line Journal Entries</v>
      </c>
      <c r="J3376" s="412">
        <v>23143135.32</v>
      </c>
      <c r="K3376" s="385">
        <v>46050</v>
      </c>
      <c r="L3376" s="369" t="s">
        <v>5449</v>
      </c>
      <c r="M3376" s="390">
        <v>46050.870138888888</v>
      </c>
      <c r="N3376" s="366" t="s">
        <v>359</v>
      </c>
      <c r="O3376" s="367" t="s">
        <v>371</v>
      </c>
      <c r="P3376" s="367" t="str">
        <f t="shared" si="116"/>
        <v>Revenue</v>
      </c>
      <c r="Q3376" s="366" t="s">
        <v>2158</v>
      </c>
      <c r="R3376" s="366" t="s">
        <v>5459</v>
      </c>
      <c r="S3376" s="366">
        <v>755120</v>
      </c>
    </row>
    <row r="3377" spans="1:19" ht="45" hidden="1" outlineLevel="1">
      <c r="B3377" s="384">
        <v>2026</v>
      </c>
      <c r="C3377" s="384">
        <v>7</v>
      </c>
      <c r="D3377" s="367" t="s">
        <v>5</v>
      </c>
      <c r="E3377" s="367" t="s">
        <v>6</v>
      </c>
      <c r="F3377" s="389" t="s">
        <v>5441</v>
      </c>
      <c r="G3377" s="385">
        <v>46049</v>
      </c>
      <c r="H3377" s="367" t="s">
        <v>9</v>
      </c>
      <c r="I3377" s="368" t="str">
        <f>VLOOKUP(H3377,'Source Codes'!A$2:B$115,2,FALSE)</f>
        <v>On Line Journal Entries</v>
      </c>
      <c r="J3377" s="412">
        <v>11230099.470000001</v>
      </c>
      <c r="K3377" s="385">
        <v>46050</v>
      </c>
      <c r="L3377" s="369" t="s">
        <v>5450</v>
      </c>
      <c r="M3377" s="390">
        <v>46050.870138888888</v>
      </c>
      <c r="N3377" s="366" t="s">
        <v>359</v>
      </c>
      <c r="O3377" s="367" t="s">
        <v>371</v>
      </c>
      <c r="P3377" s="367" t="str">
        <f t="shared" si="116"/>
        <v>Revenue</v>
      </c>
      <c r="Q3377" s="366" t="s">
        <v>2427</v>
      </c>
      <c r="R3377" s="366" t="s">
        <v>5460</v>
      </c>
      <c r="S3377" s="366" t="s">
        <v>2160</v>
      </c>
    </row>
    <row r="3378" spans="1:19" ht="30" hidden="1" outlineLevel="1">
      <c r="B3378" s="384">
        <v>2026</v>
      </c>
      <c r="C3378" s="384">
        <v>7</v>
      </c>
      <c r="D3378" s="367" t="s">
        <v>5</v>
      </c>
      <c r="E3378" s="367" t="s">
        <v>6</v>
      </c>
      <c r="F3378" s="389" t="s">
        <v>5442</v>
      </c>
      <c r="G3378" s="385">
        <v>46036</v>
      </c>
      <c r="H3378" s="367" t="s">
        <v>9</v>
      </c>
      <c r="I3378" s="368" t="str">
        <f>VLOOKUP(H3378,'Source Codes'!A$2:B$115,2,FALSE)</f>
        <v>On Line Journal Entries</v>
      </c>
      <c r="J3378" s="412">
        <v>10932530</v>
      </c>
      <c r="K3378" s="385">
        <v>46050</v>
      </c>
      <c r="L3378" s="369" t="s">
        <v>4937</v>
      </c>
      <c r="M3378" s="390">
        <v>46050.870138888888</v>
      </c>
      <c r="N3378" s="366" t="s">
        <v>361</v>
      </c>
      <c r="O3378" s="367" t="s">
        <v>357</v>
      </c>
      <c r="P3378" s="367" t="str">
        <f t="shared" si="116"/>
        <v>Revenue</v>
      </c>
      <c r="Q3378" s="366" t="s">
        <v>2671</v>
      </c>
      <c r="R3378" s="366" t="s">
        <v>5079</v>
      </c>
      <c r="S3378" s="366">
        <v>755900</v>
      </c>
    </row>
    <row r="3379" spans="1:19" ht="30" hidden="1" outlineLevel="1">
      <c r="B3379" s="384">
        <v>2026</v>
      </c>
      <c r="C3379" s="384">
        <v>7</v>
      </c>
      <c r="D3379" s="367" t="s">
        <v>5</v>
      </c>
      <c r="E3379" s="367" t="s">
        <v>6</v>
      </c>
      <c r="F3379" s="389" t="s">
        <v>5443</v>
      </c>
      <c r="G3379" s="385">
        <v>46028</v>
      </c>
      <c r="H3379" s="367" t="s">
        <v>9</v>
      </c>
      <c r="I3379" s="368" t="str">
        <f>VLOOKUP(H3379,'Source Codes'!A$2:B$115,2,FALSE)</f>
        <v>On Line Journal Entries</v>
      </c>
      <c r="J3379" s="412">
        <v>9076553</v>
      </c>
      <c r="K3379" s="385">
        <v>46050</v>
      </c>
      <c r="L3379" s="369" t="s">
        <v>344</v>
      </c>
      <c r="M3379" s="390">
        <v>46050.870138888888</v>
      </c>
      <c r="N3379" s="366" t="s">
        <v>356</v>
      </c>
      <c r="O3379" s="367" t="s">
        <v>364</v>
      </c>
      <c r="P3379" s="367" t="str">
        <f t="shared" si="116"/>
        <v>Revenue</v>
      </c>
      <c r="Q3379" s="366" t="s">
        <v>2232</v>
      </c>
      <c r="R3379" s="366" t="s">
        <v>2232</v>
      </c>
      <c r="S3379" s="366" t="s">
        <v>2533</v>
      </c>
    </row>
    <row r="3380" spans="1:19" ht="45" hidden="1" outlineLevel="1">
      <c r="B3380" s="384">
        <v>2026</v>
      </c>
      <c r="C3380" s="384">
        <v>7</v>
      </c>
      <c r="D3380" s="367" t="s">
        <v>5</v>
      </c>
      <c r="E3380" s="367" t="s">
        <v>6</v>
      </c>
      <c r="F3380" s="389" t="s">
        <v>5444</v>
      </c>
      <c r="G3380" s="385">
        <v>46036</v>
      </c>
      <c r="H3380" s="367" t="s">
        <v>9</v>
      </c>
      <c r="I3380" s="368" t="str">
        <f>VLOOKUP(H3380,'Source Codes'!A$2:B$115,2,FALSE)</f>
        <v>On Line Journal Entries</v>
      </c>
      <c r="J3380" s="412">
        <v>6094611</v>
      </c>
      <c r="K3380" s="385">
        <v>46050</v>
      </c>
      <c r="L3380" s="369" t="s">
        <v>352</v>
      </c>
      <c r="M3380" s="390">
        <v>46050.870138888888</v>
      </c>
      <c r="N3380" s="368" t="s">
        <v>359</v>
      </c>
      <c r="O3380" s="367" t="s">
        <v>364</v>
      </c>
      <c r="P3380" s="367" t="str">
        <f t="shared" si="116"/>
        <v>Revenue</v>
      </c>
      <c r="Q3380" s="366" t="s">
        <v>2232</v>
      </c>
      <c r="R3380" s="365" t="s">
        <v>2232</v>
      </c>
      <c r="S3380" s="366" t="s">
        <v>2789</v>
      </c>
    </row>
    <row r="3381" spans="1:19" ht="60" hidden="1" outlineLevel="1">
      <c r="B3381" s="384">
        <v>2026</v>
      </c>
      <c r="C3381" s="384">
        <v>7</v>
      </c>
      <c r="D3381" s="367" t="s">
        <v>5</v>
      </c>
      <c r="E3381" s="367" t="s">
        <v>6</v>
      </c>
      <c r="F3381" s="389" t="s">
        <v>5445</v>
      </c>
      <c r="G3381" s="385">
        <v>46049</v>
      </c>
      <c r="H3381" s="367" t="s">
        <v>9</v>
      </c>
      <c r="I3381" s="368" t="str">
        <f>VLOOKUP(H3381,'Source Codes'!A$2:B$115,2,FALSE)</f>
        <v>On Line Journal Entries</v>
      </c>
      <c r="J3381" s="412">
        <v>3348859.09</v>
      </c>
      <c r="K3381" s="385">
        <v>46050</v>
      </c>
      <c r="L3381" s="369" t="s">
        <v>5451</v>
      </c>
      <c r="M3381" s="390">
        <v>46050.870138888888</v>
      </c>
      <c r="N3381" s="366" t="s">
        <v>359</v>
      </c>
      <c r="O3381" s="367" t="s">
        <v>371</v>
      </c>
      <c r="P3381" s="367" t="str">
        <f t="shared" si="116"/>
        <v>Revenue</v>
      </c>
      <c r="Q3381" s="366" t="s">
        <v>3577</v>
      </c>
      <c r="R3381" s="366" t="s">
        <v>5461</v>
      </c>
      <c r="S3381" s="366">
        <v>750900</v>
      </c>
    </row>
    <row r="3382" spans="1:19" ht="15" hidden="1" outlineLevel="1">
      <c r="B3382" s="384">
        <v>2026</v>
      </c>
      <c r="C3382" s="384">
        <v>7</v>
      </c>
      <c r="D3382" s="367" t="s">
        <v>5</v>
      </c>
      <c r="E3382" s="367" t="s">
        <v>6</v>
      </c>
      <c r="F3382" s="389" t="s">
        <v>5446</v>
      </c>
      <c r="G3382" s="385">
        <v>46049</v>
      </c>
      <c r="H3382" s="367" t="s">
        <v>9</v>
      </c>
      <c r="I3382" s="368" t="str">
        <f>VLOOKUP(H3382,'Source Codes'!A$2:B$115,2,FALSE)</f>
        <v>On Line Journal Entries</v>
      </c>
      <c r="J3382" s="412">
        <v>1636721.82</v>
      </c>
      <c r="K3382" s="385">
        <v>46050</v>
      </c>
      <c r="L3382" s="369" t="s">
        <v>5452</v>
      </c>
      <c r="M3382" s="390">
        <v>46050.870138888888</v>
      </c>
      <c r="N3382" s="366" t="s">
        <v>359</v>
      </c>
      <c r="O3382" s="367" t="s">
        <v>371</v>
      </c>
      <c r="P3382" s="367" t="str">
        <f t="shared" si="116"/>
        <v>Revenue</v>
      </c>
      <c r="Q3382" s="366" t="s">
        <v>2164</v>
      </c>
      <c r="R3382" s="394" t="s">
        <v>5465</v>
      </c>
      <c r="S3382" s="366">
        <v>755909</v>
      </c>
    </row>
    <row r="3383" spans="1:19" ht="30" hidden="1" outlineLevel="1">
      <c r="B3383" s="384">
        <v>2026</v>
      </c>
      <c r="C3383" s="384">
        <v>7</v>
      </c>
      <c r="D3383" s="367" t="s">
        <v>5</v>
      </c>
      <c r="E3383" s="367" t="s">
        <v>6</v>
      </c>
      <c r="F3383" s="389" t="s">
        <v>5447</v>
      </c>
      <c r="G3383" s="385">
        <v>46049</v>
      </c>
      <c r="H3383" s="367" t="s">
        <v>9</v>
      </c>
      <c r="I3383" s="368" t="str">
        <f>VLOOKUP(H3383,'Source Codes'!A$2:B$115,2,FALSE)</f>
        <v>On Line Journal Entries</v>
      </c>
      <c r="J3383" s="412">
        <v>1388783</v>
      </c>
      <c r="K3383" s="385">
        <v>46050</v>
      </c>
      <c r="L3383" s="369" t="s">
        <v>5453</v>
      </c>
      <c r="M3383" s="390">
        <v>46050.870138888888</v>
      </c>
      <c r="N3383" s="368" t="s">
        <v>361</v>
      </c>
      <c r="O3383" s="368" t="s">
        <v>367</v>
      </c>
      <c r="P3383" s="367" t="str">
        <f t="shared" si="116"/>
        <v>Revenue</v>
      </c>
      <c r="Q3383" s="366" t="s">
        <v>3947</v>
      </c>
      <c r="R3383" s="365" t="s">
        <v>5462</v>
      </c>
      <c r="S3383" s="366" t="s">
        <v>5463</v>
      </c>
    </row>
    <row r="3384" spans="1:19" ht="45" hidden="1" outlineLevel="1">
      <c r="B3384" s="384">
        <v>2026</v>
      </c>
      <c r="C3384" s="384">
        <v>7</v>
      </c>
      <c r="D3384" s="367" t="s">
        <v>5</v>
      </c>
      <c r="E3384" s="367" t="s">
        <v>6</v>
      </c>
      <c r="F3384" s="389" t="s">
        <v>5448</v>
      </c>
      <c r="G3384" s="385">
        <v>46049</v>
      </c>
      <c r="H3384" s="367" t="s">
        <v>9</v>
      </c>
      <c r="I3384" s="368" t="str">
        <f>VLOOKUP(H3384,'Source Codes'!A$2:B$115,2,FALSE)</f>
        <v>On Line Journal Entries</v>
      </c>
      <c r="J3384" s="412">
        <v>-1126281.95</v>
      </c>
      <c r="K3384" s="385">
        <v>46050</v>
      </c>
      <c r="L3384" s="369" t="s">
        <v>5454</v>
      </c>
      <c r="M3384" s="390">
        <v>46050.870138888888</v>
      </c>
      <c r="N3384" s="366" t="s">
        <v>356</v>
      </c>
      <c r="O3384" s="367" t="s">
        <v>371</v>
      </c>
      <c r="P3384" s="367" t="str">
        <f t="shared" si="116"/>
        <v>Expense</v>
      </c>
      <c r="Q3384" s="366" t="s">
        <v>2429</v>
      </c>
      <c r="R3384" s="366" t="s">
        <v>5464</v>
      </c>
      <c r="S3384" s="366" t="s">
        <v>2166</v>
      </c>
    </row>
    <row r="3385" spans="1:19" ht="15" collapsed="1">
      <c r="J3385" s="413">
        <f>SUM(J3372:J3384)</f>
        <v>73012390.799999997</v>
      </c>
    </row>
    <row r="3387" spans="1:19" ht="12.75" customHeight="1">
      <c r="A3387" s="378" t="s">
        <v>5467</v>
      </c>
    </row>
    <row r="3388" spans="1:19" ht="75" hidden="1" outlineLevel="1">
      <c r="B3388" s="384">
        <v>2026</v>
      </c>
      <c r="C3388" s="384">
        <v>7</v>
      </c>
      <c r="D3388" s="367" t="s">
        <v>5</v>
      </c>
      <c r="E3388" s="367" t="s">
        <v>6</v>
      </c>
      <c r="F3388" s="389" t="s">
        <v>5468</v>
      </c>
      <c r="G3388" s="385">
        <v>46027</v>
      </c>
      <c r="H3388" s="367" t="s">
        <v>12</v>
      </c>
      <c r="I3388" s="368" t="str">
        <f>VLOOKUP(H3388,'Source Codes'!A$2:B$115,2,FALSE)</f>
        <v>AR Direct Cash Journal</v>
      </c>
      <c r="J3388" s="412">
        <v>2648752.35</v>
      </c>
      <c r="K3388" s="385">
        <v>46051</v>
      </c>
      <c r="L3388" s="369" t="s">
        <v>5471</v>
      </c>
      <c r="M3388" s="390">
        <v>46051.752523148149</v>
      </c>
      <c r="N3388" s="366" t="s">
        <v>356</v>
      </c>
      <c r="O3388" s="367" t="s">
        <v>370</v>
      </c>
      <c r="P3388" s="367" t="str">
        <f t="shared" ref="P3388:P3390" si="117">IF(J3388&gt;0,"Revenue",IF(J3388&lt;0,"Expense"))</f>
        <v>Revenue</v>
      </c>
      <c r="Q3388" s="366" t="s">
        <v>2264</v>
      </c>
      <c r="R3388" s="366" t="s">
        <v>2264</v>
      </c>
      <c r="S3388" s="366" t="s">
        <v>203</v>
      </c>
    </row>
    <row r="3389" spans="1:19" ht="45" hidden="1" outlineLevel="1">
      <c r="B3389" s="384">
        <v>2026</v>
      </c>
      <c r="C3389" s="384">
        <v>7</v>
      </c>
      <c r="D3389" s="367" t="s">
        <v>5</v>
      </c>
      <c r="E3389" s="367" t="s">
        <v>6</v>
      </c>
      <c r="F3389" s="389" t="s">
        <v>5469</v>
      </c>
      <c r="G3389" s="385">
        <v>46043</v>
      </c>
      <c r="H3389" s="367" t="s">
        <v>12</v>
      </c>
      <c r="I3389" s="368" t="str">
        <f>VLOOKUP(H3389,'Source Codes'!A$2:B$115,2,FALSE)</f>
        <v>AR Direct Cash Journal</v>
      </c>
      <c r="J3389" s="412">
        <v>5776791.6100000003</v>
      </c>
      <c r="K3389" s="385">
        <v>46051</v>
      </c>
      <c r="L3389" s="369" t="s">
        <v>5472</v>
      </c>
      <c r="M3389" s="390">
        <v>46051.752523148149</v>
      </c>
      <c r="N3389" s="366" t="s">
        <v>356</v>
      </c>
      <c r="O3389" s="367" t="s">
        <v>368</v>
      </c>
      <c r="P3389" s="367" t="str">
        <f t="shared" si="117"/>
        <v>Revenue</v>
      </c>
      <c r="Q3389" s="366" t="s">
        <v>2177</v>
      </c>
      <c r="R3389" s="366" t="s">
        <v>2214</v>
      </c>
      <c r="S3389" s="366" t="s">
        <v>4539</v>
      </c>
    </row>
    <row r="3390" spans="1:19" ht="75" hidden="1" outlineLevel="1">
      <c r="B3390" s="384">
        <v>2026</v>
      </c>
      <c r="C3390" s="384">
        <v>7</v>
      </c>
      <c r="D3390" s="367" t="s">
        <v>5</v>
      </c>
      <c r="E3390" s="367" t="s">
        <v>6</v>
      </c>
      <c r="F3390" s="389" t="s">
        <v>5470</v>
      </c>
      <c r="G3390" s="385">
        <v>46049</v>
      </c>
      <c r="H3390" s="367" t="s">
        <v>11</v>
      </c>
      <c r="I3390" s="368" t="str">
        <f>VLOOKUP(H3390,'Source Codes'!A$2:B$115,2,FALSE)</f>
        <v>AR Payments</v>
      </c>
      <c r="J3390" s="412">
        <v>3302857.21</v>
      </c>
      <c r="K3390" s="385">
        <v>46051</v>
      </c>
      <c r="L3390" s="369" t="s">
        <v>5474</v>
      </c>
      <c r="M3390" s="390">
        <v>46051.752523148149</v>
      </c>
      <c r="N3390" s="366" t="s">
        <v>359</v>
      </c>
      <c r="O3390" s="367" t="s">
        <v>357</v>
      </c>
      <c r="P3390" s="367" t="str">
        <f t="shared" si="117"/>
        <v>Revenue</v>
      </c>
      <c r="Q3390" s="366" t="s">
        <v>2157</v>
      </c>
      <c r="R3390" s="366" t="s">
        <v>2157</v>
      </c>
      <c r="S3390" s="366" t="s">
        <v>4188</v>
      </c>
    </row>
    <row r="3391" spans="1:19" ht="15" collapsed="1">
      <c r="J3391" s="413">
        <f>SUM(J3388:J3390)</f>
        <v>11728401.170000002</v>
      </c>
    </row>
    <row r="3393" spans="1:19" ht="12.75" customHeight="1">
      <c r="A3393" s="378" t="s">
        <v>5475</v>
      </c>
    </row>
    <row r="3394" spans="1:19" ht="60" hidden="1" outlineLevel="1">
      <c r="B3394" s="384">
        <v>2026</v>
      </c>
      <c r="C3394" s="384">
        <v>7</v>
      </c>
      <c r="D3394" s="367" t="s">
        <v>5</v>
      </c>
      <c r="E3394" s="367" t="s">
        <v>6</v>
      </c>
      <c r="F3394" s="389" t="s">
        <v>5476</v>
      </c>
      <c r="G3394" s="385">
        <v>46052</v>
      </c>
      <c r="H3394" s="367" t="s">
        <v>14</v>
      </c>
      <c r="I3394" s="368" t="str">
        <f>VLOOKUP(H3394,'Source Codes'!A$2:B$115,2,FALSE)</f>
        <v>AP Warrant Issuance</v>
      </c>
      <c r="J3394" s="412">
        <v>-1962535.74</v>
      </c>
      <c r="K3394" s="385">
        <v>46052</v>
      </c>
      <c r="L3394" s="369" t="s">
        <v>5479</v>
      </c>
      <c r="M3394" s="390">
        <v>46052.756736111114</v>
      </c>
      <c r="N3394" s="366" t="s">
        <v>2185</v>
      </c>
      <c r="O3394" s="367" t="s">
        <v>357</v>
      </c>
      <c r="P3394" s="367" t="str">
        <f t="shared" ref="P3394:P3396" si="118">IF(J3394&gt;0,"Revenue",IF(J3394&lt;0,"Expense"))</f>
        <v>Expense</v>
      </c>
      <c r="Q3394" s="366" t="s">
        <v>2309</v>
      </c>
      <c r="R3394" s="366" t="s">
        <v>2310</v>
      </c>
      <c r="S3394" s="366">
        <v>546080</v>
      </c>
    </row>
    <row r="3395" spans="1:19" ht="30" hidden="1" outlineLevel="1">
      <c r="B3395" s="384">
        <v>2026</v>
      </c>
      <c r="C3395" s="384">
        <v>7</v>
      </c>
      <c r="D3395" s="367" t="s">
        <v>5</v>
      </c>
      <c r="E3395" s="367" t="s">
        <v>6</v>
      </c>
      <c r="F3395" s="389" t="s">
        <v>5477</v>
      </c>
      <c r="G3395" s="385">
        <v>46050</v>
      </c>
      <c r="H3395" s="367" t="s">
        <v>12</v>
      </c>
      <c r="I3395" s="368" t="str">
        <f>VLOOKUP(H3395,'Source Codes'!A$2:B$115,2,FALSE)</f>
        <v>AR Direct Cash Journal</v>
      </c>
      <c r="J3395" s="412">
        <v>-283461268.08999997</v>
      </c>
      <c r="K3395" s="385">
        <v>46052</v>
      </c>
      <c r="L3395" s="369" t="s">
        <v>5481</v>
      </c>
      <c r="M3395" s="390">
        <v>46052.752083333333</v>
      </c>
      <c r="N3395" s="366" t="s">
        <v>377</v>
      </c>
      <c r="O3395" s="367" t="s">
        <v>358</v>
      </c>
      <c r="P3395" s="367" t="str">
        <f t="shared" si="118"/>
        <v>Expense</v>
      </c>
      <c r="Q3395" s="366" t="s">
        <v>2616</v>
      </c>
      <c r="R3395" s="366" t="s">
        <v>5480</v>
      </c>
      <c r="S3395" s="366">
        <v>210400</v>
      </c>
    </row>
    <row r="3396" spans="1:19" ht="30" hidden="1" outlineLevel="1">
      <c r="B3396" s="384">
        <v>2026</v>
      </c>
      <c r="C3396" s="384">
        <v>7</v>
      </c>
      <c r="D3396" s="367" t="s">
        <v>5</v>
      </c>
      <c r="E3396" s="367" t="s">
        <v>6</v>
      </c>
      <c r="F3396" s="389" t="s">
        <v>5478</v>
      </c>
      <c r="G3396" s="385">
        <v>46051</v>
      </c>
      <c r="H3396" s="367" t="s">
        <v>12</v>
      </c>
      <c r="I3396" s="368" t="str">
        <f>VLOOKUP(H3396,'Source Codes'!A$2:B$115,2,FALSE)</f>
        <v>AR Direct Cash Journal</v>
      </c>
      <c r="J3396" s="412">
        <v>1952852.71</v>
      </c>
      <c r="K3396" s="385">
        <v>46052</v>
      </c>
      <c r="L3396" s="369" t="s">
        <v>5482</v>
      </c>
      <c r="M3396" s="390">
        <v>46052.752083333333</v>
      </c>
      <c r="N3396" s="366" t="s">
        <v>359</v>
      </c>
      <c r="O3396" s="367" t="s">
        <v>2631</v>
      </c>
      <c r="P3396" s="367" t="str">
        <f t="shared" si="118"/>
        <v>Revenue</v>
      </c>
      <c r="Q3396" s="366" t="s">
        <v>2632</v>
      </c>
      <c r="R3396" s="366" t="s">
        <v>2632</v>
      </c>
      <c r="S3396" s="366">
        <v>112630</v>
      </c>
    </row>
    <row r="3397" spans="1:19" ht="15" collapsed="1">
      <c r="J3397" s="413">
        <f>SUM(J3394:J3396)</f>
        <v>-283470951.12</v>
      </c>
    </row>
    <row r="3399" spans="1:19" ht="12.75" customHeight="1">
      <c r="A3399" s="378" t="s">
        <v>5483</v>
      </c>
    </row>
    <row r="3400" spans="1:19" ht="30" hidden="1" outlineLevel="1">
      <c r="B3400" s="384">
        <v>2026</v>
      </c>
      <c r="C3400" s="384">
        <v>7</v>
      </c>
      <c r="D3400" s="367" t="s">
        <v>5</v>
      </c>
      <c r="E3400" s="367" t="s">
        <v>6</v>
      </c>
      <c r="F3400" s="389" t="s">
        <v>5484</v>
      </c>
      <c r="G3400" s="385">
        <v>46049</v>
      </c>
      <c r="H3400" s="367" t="s">
        <v>12</v>
      </c>
      <c r="I3400" s="368" t="str">
        <f>VLOOKUP(H3400,'Source Codes'!A$2:B$115,2,FALSE)</f>
        <v>AR Direct Cash Journal</v>
      </c>
      <c r="J3400" s="412">
        <v>8874527.9399999995</v>
      </c>
      <c r="K3400" s="385">
        <v>46055</v>
      </c>
      <c r="L3400" s="369" t="s">
        <v>5497</v>
      </c>
      <c r="M3400" s="390">
        <v>46055.752268518518</v>
      </c>
      <c r="N3400" s="366" t="s">
        <v>356</v>
      </c>
      <c r="O3400" s="367" t="s">
        <v>368</v>
      </c>
      <c r="P3400" s="367" t="str">
        <f t="shared" ref="P3400:P3409" si="119">IF(J3400&gt;0,"Revenue",IF(J3400&lt;0,"Expense"))</f>
        <v>Revenue</v>
      </c>
      <c r="Q3400" s="366" t="s">
        <v>2177</v>
      </c>
      <c r="R3400" s="366" t="s">
        <v>2214</v>
      </c>
      <c r="S3400" s="366" t="s">
        <v>4539</v>
      </c>
    </row>
    <row r="3401" spans="1:19" ht="45" hidden="1" outlineLevel="1">
      <c r="B3401" s="384">
        <v>2026</v>
      </c>
      <c r="C3401" s="384">
        <v>7</v>
      </c>
      <c r="D3401" s="367" t="s">
        <v>5</v>
      </c>
      <c r="E3401" s="367" t="s">
        <v>6</v>
      </c>
      <c r="F3401" s="389" t="s">
        <v>5485</v>
      </c>
      <c r="G3401" s="385">
        <v>46043</v>
      </c>
      <c r="H3401" s="367" t="s">
        <v>12</v>
      </c>
      <c r="I3401" s="368" t="str">
        <f>VLOOKUP(H3401,'Source Codes'!A$2:B$115,2,FALSE)</f>
        <v>AR Direct Cash Journal</v>
      </c>
      <c r="J3401" s="412">
        <v>21800472</v>
      </c>
      <c r="K3401" s="385">
        <v>46055</v>
      </c>
      <c r="L3401" s="369" t="s">
        <v>5498</v>
      </c>
      <c r="M3401" s="390">
        <v>46055.752268518518</v>
      </c>
      <c r="N3401" s="366" t="s">
        <v>356</v>
      </c>
      <c r="O3401" s="367" t="s">
        <v>368</v>
      </c>
      <c r="P3401" s="367" t="str">
        <f t="shared" si="119"/>
        <v>Revenue</v>
      </c>
      <c r="Q3401" s="366" t="s">
        <v>2177</v>
      </c>
      <c r="R3401" s="366" t="s">
        <v>2214</v>
      </c>
      <c r="S3401" s="366" t="s">
        <v>2348</v>
      </c>
    </row>
    <row r="3402" spans="1:19" ht="30" hidden="1" outlineLevel="1">
      <c r="B3402" s="384">
        <v>2026</v>
      </c>
      <c r="C3402" s="384">
        <v>7</v>
      </c>
      <c r="D3402" s="367" t="s">
        <v>5</v>
      </c>
      <c r="E3402" s="367" t="s">
        <v>6</v>
      </c>
      <c r="F3402" s="389" t="s">
        <v>5486</v>
      </c>
      <c r="G3402" s="385">
        <v>46042</v>
      </c>
      <c r="H3402" s="367" t="s">
        <v>11</v>
      </c>
      <c r="I3402" s="368" t="str">
        <f>VLOOKUP(H3402,'Source Codes'!A$2:B$115,2,FALSE)</f>
        <v>AR Payments</v>
      </c>
      <c r="J3402" s="412">
        <v>1107172</v>
      </c>
      <c r="K3402" s="385">
        <v>46055</v>
      </c>
      <c r="L3402" s="369" t="s">
        <v>5499</v>
      </c>
      <c r="M3402" s="390">
        <v>46055.752268518518</v>
      </c>
      <c r="N3402" s="366" t="s">
        <v>356</v>
      </c>
      <c r="O3402" s="367" t="s">
        <v>362</v>
      </c>
      <c r="P3402" s="367" t="str">
        <f t="shared" si="119"/>
        <v>Revenue</v>
      </c>
      <c r="Q3402" s="366" t="s">
        <v>2360</v>
      </c>
      <c r="R3402" s="365" t="s">
        <v>3049</v>
      </c>
      <c r="S3402" s="366">
        <v>118401</v>
      </c>
    </row>
    <row r="3403" spans="1:19" ht="30" hidden="1" outlineLevel="1">
      <c r="B3403" s="384">
        <v>2026</v>
      </c>
      <c r="C3403" s="384">
        <v>8</v>
      </c>
      <c r="D3403" s="367" t="s">
        <v>5</v>
      </c>
      <c r="E3403" s="367" t="s">
        <v>6</v>
      </c>
      <c r="F3403" s="389" t="s">
        <v>5487</v>
      </c>
      <c r="G3403" s="385">
        <v>46055</v>
      </c>
      <c r="H3403" s="367" t="s">
        <v>11</v>
      </c>
      <c r="I3403" s="368" t="str">
        <f>VLOOKUP(H3403,'Source Codes'!A$2:B$115,2,FALSE)</f>
        <v>AR Payments</v>
      </c>
      <c r="J3403" s="412">
        <v>1490150.56</v>
      </c>
      <c r="K3403" s="385">
        <v>46055</v>
      </c>
      <c r="L3403" s="369" t="s">
        <v>2187</v>
      </c>
      <c r="M3403" s="390">
        <v>46055.752268518518</v>
      </c>
      <c r="N3403" s="366" t="s">
        <v>359</v>
      </c>
      <c r="O3403" s="367" t="s">
        <v>357</v>
      </c>
      <c r="P3403" s="367" t="str">
        <f t="shared" si="119"/>
        <v>Revenue</v>
      </c>
      <c r="Q3403" s="366" t="s">
        <v>2157</v>
      </c>
      <c r="R3403" s="366" t="s">
        <v>2157</v>
      </c>
      <c r="S3403" s="366">
        <v>118501</v>
      </c>
    </row>
    <row r="3404" spans="1:19" ht="45" hidden="1" outlineLevel="1">
      <c r="B3404" s="384">
        <v>2026</v>
      </c>
      <c r="C3404" s="384">
        <v>7</v>
      </c>
      <c r="D3404" s="367" t="s">
        <v>5</v>
      </c>
      <c r="E3404" s="367" t="s">
        <v>6</v>
      </c>
      <c r="F3404" s="389" t="s">
        <v>5488</v>
      </c>
      <c r="G3404" s="385">
        <v>46038</v>
      </c>
      <c r="H3404" s="367" t="s">
        <v>9</v>
      </c>
      <c r="I3404" s="368" t="str">
        <f>VLOOKUP(H3404,'Source Codes'!A$2:B$115,2,FALSE)</f>
        <v>On Line Journal Entries</v>
      </c>
      <c r="J3404" s="412">
        <v>26541067</v>
      </c>
      <c r="K3404" s="385">
        <v>46055</v>
      </c>
      <c r="L3404" s="369" t="s">
        <v>396</v>
      </c>
      <c r="M3404" s="390">
        <v>46055.870127314818</v>
      </c>
      <c r="N3404" s="366" t="s">
        <v>356</v>
      </c>
      <c r="O3404" s="367" t="s">
        <v>364</v>
      </c>
      <c r="P3404" s="367" t="str">
        <f t="shared" si="119"/>
        <v>Revenue</v>
      </c>
      <c r="Q3404" s="366" t="s">
        <v>2232</v>
      </c>
      <c r="R3404" s="366" t="s">
        <v>2232</v>
      </c>
      <c r="S3404" s="366" t="s">
        <v>5500</v>
      </c>
    </row>
    <row r="3405" spans="1:19" ht="30" hidden="1" outlineLevel="1">
      <c r="B3405" s="384">
        <v>2026</v>
      </c>
      <c r="C3405" s="384">
        <v>7</v>
      </c>
      <c r="D3405" s="367" t="s">
        <v>5</v>
      </c>
      <c r="E3405" s="367" t="s">
        <v>6</v>
      </c>
      <c r="F3405" s="389" t="s">
        <v>5489</v>
      </c>
      <c r="G3405" s="385">
        <v>46027</v>
      </c>
      <c r="H3405" s="367" t="s">
        <v>9</v>
      </c>
      <c r="I3405" s="368" t="str">
        <f>VLOOKUP(H3405,'Source Codes'!A$2:B$115,2,FALSE)</f>
        <v>On Line Journal Entries</v>
      </c>
      <c r="J3405" s="412">
        <v>23665896</v>
      </c>
      <c r="K3405" s="385">
        <v>46055</v>
      </c>
      <c r="L3405" s="369" t="s">
        <v>10</v>
      </c>
      <c r="M3405" s="390">
        <v>46055.870127314818</v>
      </c>
      <c r="N3405" s="366" t="s">
        <v>356</v>
      </c>
      <c r="O3405" s="367" t="s">
        <v>364</v>
      </c>
      <c r="P3405" s="367" t="str">
        <f t="shared" si="119"/>
        <v>Revenue</v>
      </c>
      <c r="Q3405" s="366" t="s">
        <v>2232</v>
      </c>
      <c r="R3405" s="366" t="s">
        <v>2232</v>
      </c>
      <c r="S3405" s="366" t="s">
        <v>3107</v>
      </c>
    </row>
    <row r="3406" spans="1:19" ht="30" hidden="1" outlineLevel="1">
      <c r="B3406" s="384">
        <v>2026</v>
      </c>
      <c r="C3406" s="384">
        <v>7</v>
      </c>
      <c r="D3406" s="367" t="s">
        <v>5</v>
      </c>
      <c r="E3406" s="367" t="s">
        <v>6</v>
      </c>
      <c r="F3406" s="389" t="s">
        <v>5490</v>
      </c>
      <c r="G3406" s="385">
        <v>46037</v>
      </c>
      <c r="H3406" s="367" t="s">
        <v>9</v>
      </c>
      <c r="I3406" s="368" t="str">
        <f>VLOOKUP(H3406,'Source Codes'!A$2:B$115,2,FALSE)</f>
        <v>On Line Journal Entries</v>
      </c>
      <c r="J3406" s="412">
        <v>13088684.83</v>
      </c>
      <c r="K3406" s="385">
        <v>46055</v>
      </c>
      <c r="L3406" s="369" t="s">
        <v>344</v>
      </c>
      <c r="M3406" s="390">
        <v>46055.870127314818</v>
      </c>
      <c r="N3406" s="366" t="s">
        <v>356</v>
      </c>
      <c r="O3406" s="367" t="s">
        <v>364</v>
      </c>
      <c r="P3406" s="367" t="str">
        <f t="shared" si="119"/>
        <v>Revenue</v>
      </c>
      <c r="Q3406" s="366" t="s">
        <v>2232</v>
      </c>
      <c r="R3406" s="366" t="s">
        <v>2232</v>
      </c>
      <c r="S3406" s="366" t="s">
        <v>2233</v>
      </c>
    </row>
    <row r="3407" spans="1:19" ht="45" hidden="1" outlineLevel="1">
      <c r="B3407" s="384">
        <v>2026</v>
      </c>
      <c r="C3407" s="384">
        <v>7</v>
      </c>
      <c r="D3407" s="367" t="s">
        <v>5</v>
      </c>
      <c r="E3407" s="367" t="s">
        <v>6</v>
      </c>
      <c r="F3407" s="389" t="s">
        <v>5491</v>
      </c>
      <c r="G3407" s="385">
        <v>46030</v>
      </c>
      <c r="H3407" s="367" t="s">
        <v>9</v>
      </c>
      <c r="I3407" s="368" t="str">
        <f>VLOOKUP(H3407,'Source Codes'!A$2:B$115,2,FALSE)</f>
        <v>On Line Journal Entries</v>
      </c>
      <c r="J3407" s="412">
        <v>10554209</v>
      </c>
      <c r="K3407" s="385">
        <v>46055</v>
      </c>
      <c r="L3407" s="369" t="s">
        <v>5494</v>
      </c>
      <c r="M3407" s="390">
        <v>46055.870127314818</v>
      </c>
      <c r="N3407" s="368" t="s">
        <v>387</v>
      </c>
      <c r="O3407" s="368" t="s">
        <v>371</v>
      </c>
      <c r="P3407" s="367" t="str">
        <f t="shared" si="119"/>
        <v>Revenue</v>
      </c>
      <c r="Q3407" s="366" t="s">
        <v>2301</v>
      </c>
      <c r="R3407" s="366" t="s">
        <v>2301</v>
      </c>
      <c r="S3407" s="366">
        <v>777580</v>
      </c>
    </row>
    <row r="3408" spans="1:19" ht="30" hidden="1" outlineLevel="1">
      <c r="B3408" s="384">
        <v>2026</v>
      </c>
      <c r="C3408" s="384">
        <v>7</v>
      </c>
      <c r="D3408" s="367" t="s">
        <v>5</v>
      </c>
      <c r="E3408" s="367" t="s">
        <v>6</v>
      </c>
      <c r="F3408" s="389" t="s">
        <v>5492</v>
      </c>
      <c r="G3408" s="385">
        <v>46051</v>
      </c>
      <c r="H3408" s="367" t="s">
        <v>16</v>
      </c>
      <c r="I3408" s="368" t="str">
        <f>VLOOKUP(H3408,'Source Codes'!A$2:B$115,2,FALSE)</f>
        <v>Property Tax Interface</v>
      </c>
      <c r="J3408" s="412">
        <v>5972893</v>
      </c>
      <c r="K3408" s="385">
        <v>46055</v>
      </c>
      <c r="L3408" s="369" t="s">
        <v>5495</v>
      </c>
      <c r="M3408" s="390">
        <v>46055.664629629631</v>
      </c>
      <c r="N3408" s="366" t="s">
        <v>2185</v>
      </c>
      <c r="O3408" s="367" t="s">
        <v>384</v>
      </c>
      <c r="P3408" s="367" t="str">
        <f t="shared" si="119"/>
        <v>Revenue</v>
      </c>
      <c r="Q3408" s="366" t="s">
        <v>2946</v>
      </c>
      <c r="R3408" s="366" t="s">
        <v>5501</v>
      </c>
      <c r="S3408" s="366" t="s">
        <v>2829</v>
      </c>
    </row>
    <row r="3409" spans="1:19" ht="45" hidden="1" outlineLevel="1">
      <c r="B3409" s="384">
        <v>2026</v>
      </c>
      <c r="C3409" s="384">
        <v>7</v>
      </c>
      <c r="D3409" s="367" t="s">
        <v>5</v>
      </c>
      <c r="E3409" s="367" t="s">
        <v>6</v>
      </c>
      <c r="F3409" s="389" t="s">
        <v>5493</v>
      </c>
      <c r="G3409" s="385">
        <v>46030</v>
      </c>
      <c r="H3409" s="367" t="s">
        <v>9</v>
      </c>
      <c r="I3409" s="368" t="str">
        <f>VLOOKUP(H3409,'Source Codes'!A$2:B$115,2,FALSE)</f>
        <v>On Line Journal Entries</v>
      </c>
      <c r="J3409" s="412">
        <v>2368028</v>
      </c>
      <c r="K3409" s="385">
        <v>46055</v>
      </c>
      <c r="L3409" s="369" t="s">
        <v>5496</v>
      </c>
      <c r="M3409" s="390">
        <v>46055.870127314818</v>
      </c>
      <c r="N3409" s="368" t="s">
        <v>387</v>
      </c>
      <c r="O3409" s="368" t="s">
        <v>371</v>
      </c>
      <c r="P3409" s="367" t="str">
        <f t="shared" si="119"/>
        <v>Revenue</v>
      </c>
      <c r="Q3409" s="366" t="s">
        <v>2301</v>
      </c>
      <c r="R3409" s="366" t="s">
        <v>2301</v>
      </c>
      <c r="S3409" s="366">
        <v>778040</v>
      </c>
    </row>
    <row r="3410" spans="1:19" ht="12.75" customHeight="1" collapsed="1">
      <c r="J3410" s="413">
        <f>SUM(J3400:J3409)</f>
        <v>115463100.33</v>
      </c>
    </row>
    <row r="3412" spans="1:19" ht="12.75" customHeight="1">
      <c r="A3412" s="378" t="s">
        <v>5502</v>
      </c>
    </row>
    <row r="3413" spans="1:19" ht="30" hidden="1" outlineLevel="1">
      <c r="B3413" s="384">
        <v>2026</v>
      </c>
      <c r="C3413" s="384">
        <v>8</v>
      </c>
      <c r="D3413" s="367" t="s">
        <v>5</v>
      </c>
      <c r="E3413" s="367" t="s">
        <v>6</v>
      </c>
      <c r="F3413" s="389" t="s">
        <v>5503</v>
      </c>
      <c r="G3413" s="385">
        <v>46058</v>
      </c>
      <c r="H3413" s="367" t="s">
        <v>14</v>
      </c>
      <c r="I3413" s="368" t="str">
        <f>VLOOKUP(H3413,'Source Codes'!A$2:B$115,2,FALSE)</f>
        <v>AP Warrant Issuance</v>
      </c>
      <c r="J3413" s="412">
        <v>-1097664.1000000001</v>
      </c>
      <c r="K3413" s="385">
        <v>46056</v>
      </c>
      <c r="L3413" s="369" t="s">
        <v>5513</v>
      </c>
      <c r="M3413" s="390">
        <v>46056.757650462961</v>
      </c>
      <c r="N3413" s="368" t="s">
        <v>356</v>
      </c>
      <c r="O3413" s="368" t="s">
        <v>368</v>
      </c>
      <c r="P3413" s="367" t="str">
        <f t="shared" ref="P3413:P3418" si="120">IF(J3413&gt;0,"Revenue",IF(J3413&lt;0,"Expense"))</f>
        <v>Expense</v>
      </c>
      <c r="Q3413" s="366" t="s">
        <v>2154</v>
      </c>
      <c r="R3413" s="366" t="s">
        <v>2154</v>
      </c>
      <c r="S3413" s="366" t="s">
        <v>203</v>
      </c>
    </row>
    <row r="3414" spans="1:19" ht="30" hidden="1" outlineLevel="1">
      <c r="B3414" s="384">
        <v>2026</v>
      </c>
      <c r="C3414" s="384">
        <v>8</v>
      </c>
      <c r="D3414" s="367" t="s">
        <v>5</v>
      </c>
      <c r="E3414" s="367" t="s">
        <v>6</v>
      </c>
      <c r="F3414" s="389" t="s">
        <v>5504</v>
      </c>
      <c r="G3414" s="385">
        <v>46056</v>
      </c>
      <c r="H3414" s="367" t="s">
        <v>9</v>
      </c>
      <c r="I3414" s="368" t="str">
        <f>VLOOKUP(H3414,'Source Codes'!A$2:B$115,2,FALSE)</f>
        <v>On Line Journal Entries</v>
      </c>
      <c r="J3414" s="412">
        <v>15000000</v>
      </c>
      <c r="K3414" s="385">
        <v>46056</v>
      </c>
      <c r="L3414" s="369" t="s">
        <v>4910</v>
      </c>
      <c r="M3414" s="390">
        <v>46056.870300925926</v>
      </c>
      <c r="N3414" s="368" t="s">
        <v>361</v>
      </c>
      <c r="O3414" s="368" t="s">
        <v>371</v>
      </c>
      <c r="P3414" s="367" t="str">
        <f t="shared" si="120"/>
        <v>Revenue</v>
      </c>
      <c r="Q3414" s="366" t="s">
        <v>2176</v>
      </c>
      <c r="R3414" s="366" t="s">
        <v>2176</v>
      </c>
      <c r="S3414" s="366">
        <v>132600</v>
      </c>
    </row>
    <row r="3415" spans="1:19" ht="15" hidden="1" outlineLevel="1">
      <c r="B3415" s="384">
        <v>2026</v>
      </c>
      <c r="C3415" s="384">
        <v>7</v>
      </c>
      <c r="D3415" s="367" t="s">
        <v>5</v>
      </c>
      <c r="E3415" s="367" t="s">
        <v>6</v>
      </c>
      <c r="F3415" s="389" t="s">
        <v>5505</v>
      </c>
      <c r="G3415" s="385">
        <v>46044</v>
      </c>
      <c r="H3415" s="367" t="s">
        <v>9</v>
      </c>
      <c r="I3415" s="368" t="str">
        <f>VLOOKUP(H3415,'Source Codes'!A$2:B$115,2,FALSE)</f>
        <v>On Line Journal Entries</v>
      </c>
      <c r="J3415" s="412">
        <v>5319153.07</v>
      </c>
      <c r="K3415" s="385">
        <v>46056</v>
      </c>
      <c r="L3415" s="369" t="s">
        <v>5509</v>
      </c>
      <c r="M3415" s="390">
        <v>46056.790335648147</v>
      </c>
      <c r="N3415" s="368" t="s">
        <v>361</v>
      </c>
      <c r="O3415" s="368" t="s">
        <v>376</v>
      </c>
      <c r="P3415" s="367" t="str">
        <f t="shared" si="120"/>
        <v>Revenue</v>
      </c>
      <c r="Q3415" s="366" t="s">
        <v>2685</v>
      </c>
      <c r="R3415" s="366" t="s">
        <v>5514</v>
      </c>
      <c r="S3415" s="366">
        <v>755931</v>
      </c>
    </row>
    <row r="3416" spans="1:19" ht="15" hidden="1" outlineLevel="1">
      <c r="B3416" s="384">
        <v>2026</v>
      </c>
      <c r="C3416" s="384">
        <v>7</v>
      </c>
      <c r="D3416" s="367" t="s">
        <v>5</v>
      </c>
      <c r="E3416" s="367" t="s">
        <v>6</v>
      </c>
      <c r="F3416" s="389" t="s">
        <v>5506</v>
      </c>
      <c r="G3416" s="385">
        <v>46023</v>
      </c>
      <c r="H3416" s="367" t="s">
        <v>9</v>
      </c>
      <c r="I3416" s="368" t="str">
        <f>VLOOKUP(H3416,'Source Codes'!A$2:B$115,2,FALSE)</f>
        <v>On Line Journal Entries</v>
      </c>
      <c r="J3416" s="412">
        <v>4433991.5</v>
      </c>
      <c r="K3416" s="385">
        <v>46056</v>
      </c>
      <c r="L3416" s="369" t="s">
        <v>5510</v>
      </c>
      <c r="M3416" s="390">
        <v>46056.667071759257</v>
      </c>
      <c r="N3416" s="368" t="s">
        <v>387</v>
      </c>
      <c r="O3416" s="368" t="s">
        <v>373</v>
      </c>
      <c r="P3416" s="367" t="str">
        <f t="shared" si="120"/>
        <v>Revenue</v>
      </c>
      <c r="Q3416" s="366" t="s">
        <v>4294</v>
      </c>
      <c r="R3416" s="366" t="s">
        <v>5515</v>
      </c>
      <c r="S3416" s="366" t="s">
        <v>4296</v>
      </c>
    </row>
    <row r="3417" spans="1:19" ht="15" hidden="1" outlineLevel="1">
      <c r="B3417" s="384">
        <v>2026</v>
      </c>
      <c r="C3417" s="384">
        <v>7</v>
      </c>
      <c r="D3417" s="367" t="s">
        <v>5</v>
      </c>
      <c r="E3417" s="367" t="s">
        <v>6</v>
      </c>
      <c r="F3417" s="389" t="s">
        <v>5507</v>
      </c>
      <c r="G3417" s="385">
        <v>46044</v>
      </c>
      <c r="H3417" s="367" t="s">
        <v>9</v>
      </c>
      <c r="I3417" s="368" t="str">
        <f>VLOOKUP(H3417,'Source Codes'!A$2:B$115,2,FALSE)</f>
        <v>On Line Journal Entries</v>
      </c>
      <c r="J3417" s="412">
        <v>4000000</v>
      </c>
      <c r="K3417" s="385">
        <v>46056</v>
      </c>
      <c r="L3417" s="369" t="s">
        <v>5511</v>
      </c>
      <c r="M3417" s="390">
        <v>46056.595231481479</v>
      </c>
      <c r="N3417" s="368" t="s">
        <v>361</v>
      </c>
      <c r="O3417" s="368" t="s">
        <v>376</v>
      </c>
      <c r="P3417" s="367" t="str">
        <f t="shared" si="120"/>
        <v>Revenue</v>
      </c>
      <c r="Q3417" s="366" t="s">
        <v>2657</v>
      </c>
      <c r="R3417" s="366" t="s">
        <v>4942</v>
      </c>
      <c r="S3417" s="366">
        <v>755928</v>
      </c>
    </row>
    <row r="3418" spans="1:19" ht="30" hidden="1" outlineLevel="1">
      <c r="B3418" s="384">
        <v>2026</v>
      </c>
      <c r="C3418" s="384">
        <v>7</v>
      </c>
      <c r="D3418" s="367" t="s">
        <v>5</v>
      </c>
      <c r="E3418" s="367" t="s">
        <v>6</v>
      </c>
      <c r="F3418" s="389" t="s">
        <v>5508</v>
      </c>
      <c r="G3418" s="385">
        <v>46044</v>
      </c>
      <c r="H3418" s="367" t="s">
        <v>9</v>
      </c>
      <c r="I3418" s="368" t="str">
        <f>VLOOKUP(H3418,'Source Codes'!A$2:B$115,2,FALSE)</f>
        <v>On Line Journal Entries</v>
      </c>
      <c r="J3418" s="412">
        <v>3026599.07</v>
      </c>
      <c r="K3418" s="385">
        <v>46056</v>
      </c>
      <c r="L3418" s="369" t="s">
        <v>5512</v>
      </c>
      <c r="M3418" s="390">
        <v>46056.788159722222</v>
      </c>
      <c r="N3418" s="368" t="s">
        <v>361</v>
      </c>
      <c r="O3418" s="368" t="s">
        <v>376</v>
      </c>
      <c r="P3418" s="367" t="str">
        <f t="shared" si="120"/>
        <v>Revenue</v>
      </c>
      <c r="Q3418" s="366" t="s">
        <v>5516</v>
      </c>
      <c r="R3418" s="366" t="s">
        <v>4271</v>
      </c>
      <c r="S3418" s="366">
        <v>755901</v>
      </c>
    </row>
    <row r="3419" spans="1:19" ht="15" collapsed="1">
      <c r="J3419" s="413">
        <f>SUM(J3413:J3418)</f>
        <v>30682079.539999999</v>
      </c>
    </row>
    <row r="3421" spans="1:19" ht="12.75" customHeight="1">
      <c r="A3421" s="378" t="s">
        <v>5517</v>
      </c>
    </row>
    <row r="3422" spans="1:19" ht="30" hidden="1" outlineLevel="1">
      <c r="B3422" s="384">
        <v>2026</v>
      </c>
      <c r="C3422" s="384">
        <v>8</v>
      </c>
      <c r="D3422" s="367" t="s">
        <v>5</v>
      </c>
      <c r="E3422" s="367" t="s">
        <v>6</v>
      </c>
      <c r="F3422" s="389" t="s">
        <v>5518</v>
      </c>
      <c r="G3422" s="385">
        <v>46059</v>
      </c>
      <c r="H3422" s="367" t="s">
        <v>14</v>
      </c>
      <c r="I3422" s="368" t="str">
        <f>VLOOKUP(H3422,'Source Codes'!A$2:B$115,2,FALSE)</f>
        <v>AP Warrant Issuance</v>
      </c>
      <c r="J3422" s="412">
        <v>-1852934.04</v>
      </c>
      <c r="K3422" s="385">
        <v>46057</v>
      </c>
      <c r="L3422" s="369" t="s">
        <v>5522</v>
      </c>
      <c r="M3422" s="390">
        <v>46057.75849537037</v>
      </c>
      <c r="N3422" s="368" t="s">
        <v>356</v>
      </c>
      <c r="O3422" s="368" t="s">
        <v>368</v>
      </c>
      <c r="P3422" s="367" t="str">
        <f t="shared" ref="P3422:P3424" si="121">IF(J3422&gt;0,"Revenue",IF(J3422&lt;0,"Expense"))</f>
        <v>Expense</v>
      </c>
      <c r="Q3422" s="366" t="s">
        <v>2154</v>
      </c>
      <c r="R3422" s="366" t="s">
        <v>2154</v>
      </c>
      <c r="S3422" s="366" t="s">
        <v>203</v>
      </c>
    </row>
    <row r="3423" spans="1:19" ht="30" hidden="1" outlineLevel="1">
      <c r="B3423" s="384">
        <v>2026</v>
      </c>
      <c r="C3423" s="384">
        <v>8</v>
      </c>
      <c r="D3423" s="367" t="s">
        <v>5</v>
      </c>
      <c r="E3423" s="367" t="s">
        <v>6</v>
      </c>
      <c r="F3423" s="389" t="s">
        <v>5519</v>
      </c>
      <c r="G3423" s="385">
        <v>46057</v>
      </c>
      <c r="H3423" s="367" t="s">
        <v>14</v>
      </c>
      <c r="I3423" s="368" t="str">
        <f>VLOOKUP(H3423,'Source Codes'!A$2:B$115,2,FALSE)</f>
        <v>AP Warrant Issuance</v>
      </c>
      <c r="J3423" s="412">
        <v>-1070135.78</v>
      </c>
      <c r="K3423" s="385">
        <v>46057</v>
      </c>
      <c r="L3423" s="369" t="s">
        <v>5523</v>
      </c>
      <c r="M3423" s="390">
        <v>46057.75849537037</v>
      </c>
      <c r="N3423" s="368" t="s">
        <v>356</v>
      </c>
      <c r="O3423" s="368" t="s">
        <v>357</v>
      </c>
      <c r="P3423" s="367" t="str">
        <f t="shared" si="121"/>
        <v>Expense</v>
      </c>
      <c r="Q3423" s="366" t="s">
        <v>2309</v>
      </c>
      <c r="R3423" s="366" t="s">
        <v>2310</v>
      </c>
      <c r="S3423" s="366" t="s">
        <v>203</v>
      </c>
    </row>
    <row r="3424" spans="1:19" ht="30" hidden="1" outlineLevel="1">
      <c r="B3424" s="384">
        <v>2026</v>
      </c>
      <c r="C3424" s="384">
        <v>7</v>
      </c>
      <c r="D3424" s="367" t="s">
        <v>5</v>
      </c>
      <c r="E3424" s="367" t="s">
        <v>6</v>
      </c>
      <c r="F3424" s="389" t="s">
        <v>5520</v>
      </c>
      <c r="G3424" s="385">
        <v>46053</v>
      </c>
      <c r="H3424" s="367" t="s">
        <v>351</v>
      </c>
      <c r="I3424" s="368" t="str">
        <f>VLOOKUP(H3424,'Source Codes'!A$2:B$115,2,FALSE)</f>
        <v>Treasurer Tax Collector</v>
      </c>
      <c r="J3424" s="412">
        <v>1218440.8500000001</v>
      </c>
      <c r="K3424" s="385">
        <v>46057</v>
      </c>
      <c r="L3424" s="369" t="s">
        <v>5521</v>
      </c>
      <c r="M3424" s="390">
        <v>46057.444641203707</v>
      </c>
      <c r="N3424" s="368" t="s">
        <v>372</v>
      </c>
      <c r="O3424" s="368" t="s">
        <v>380</v>
      </c>
      <c r="P3424" s="367" t="str">
        <f t="shared" si="121"/>
        <v>Revenue</v>
      </c>
      <c r="Q3424" s="366" t="s">
        <v>2688</v>
      </c>
      <c r="R3424" s="366" t="s">
        <v>5524</v>
      </c>
      <c r="S3424" s="366" t="s">
        <v>5525</v>
      </c>
    </row>
    <row r="3425" spans="1:19" ht="15" collapsed="1">
      <c r="I3425" s="368"/>
      <c r="J3425" s="413">
        <f>SUM(J3422:J3424)</f>
        <v>-1704628.9700000002</v>
      </c>
      <c r="P3425" s="367"/>
    </row>
    <row r="3426" spans="1:19" ht="12.75" customHeight="1">
      <c r="I3426" s="368"/>
      <c r="P3426" s="367"/>
    </row>
    <row r="3427" spans="1:19" ht="12.75" customHeight="1">
      <c r="A3427" s="378" t="s">
        <v>5526</v>
      </c>
      <c r="I3427" s="368"/>
      <c r="P3427" s="367"/>
    </row>
    <row r="3428" spans="1:19" ht="30" hidden="1" outlineLevel="1">
      <c r="B3428" s="384">
        <v>2026</v>
      </c>
      <c r="C3428" s="384">
        <v>8</v>
      </c>
      <c r="D3428" s="367" t="s">
        <v>5</v>
      </c>
      <c r="E3428" s="367" t="s">
        <v>6</v>
      </c>
      <c r="F3428" s="389" t="s">
        <v>5527</v>
      </c>
      <c r="G3428" s="385">
        <v>46056</v>
      </c>
      <c r="H3428" s="367" t="s">
        <v>9</v>
      </c>
      <c r="I3428" s="368" t="str">
        <f>VLOOKUP(H3428,'Source Codes'!A$2:B$115,2,FALSE)</f>
        <v>On Line Journal Entries</v>
      </c>
      <c r="J3428" s="412">
        <v>14623895</v>
      </c>
      <c r="K3428" s="385">
        <v>46058</v>
      </c>
      <c r="L3428" s="369" t="s">
        <v>344</v>
      </c>
      <c r="M3428" s="390">
        <v>46058.870069444441</v>
      </c>
      <c r="N3428" s="368" t="s">
        <v>356</v>
      </c>
      <c r="O3428" s="368" t="s">
        <v>364</v>
      </c>
      <c r="P3428" s="367" t="str">
        <f t="shared" ref="P3428:P3433" si="122">IF(J3428&gt;0,"Revenue",IF(J3428&lt;0,"Expense"))</f>
        <v>Revenue</v>
      </c>
      <c r="Q3428" s="366" t="s">
        <v>2232</v>
      </c>
      <c r="R3428" s="366" t="s">
        <v>2232</v>
      </c>
      <c r="S3428" s="366" t="s">
        <v>2532</v>
      </c>
    </row>
    <row r="3429" spans="1:19" ht="30" hidden="1" outlineLevel="1">
      <c r="B3429" s="384">
        <v>2026</v>
      </c>
      <c r="C3429" s="384">
        <v>8</v>
      </c>
      <c r="D3429" s="367" t="s">
        <v>5</v>
      </c>
      <c r="E3429" s="367" t="s">
        <v>6</v>
      </c>
      <c r="F3429" s="389" t="s">
        <v>5528</v>
      </c>
      <c r="G3429" s="385">
        <v>46056</v>
      </c>
      <c r="H3429" s="367" t="s">
        <v>9</v>
      </c>
      <c r="I3429" s="368" t="str">
        <f>VLOOKUP(H3429,'Source Codes'!A$2:B$115,2,FALSE)</f>
        <v>On Line Journal Entries</v>
      </c>
      <c r="J3429" s="412">
        <v>1002403</v>
      </c>
      <c r="K3429" s="385">
        <v>46058</v>
      </c>
      <c r="L3429" s="369" t="s">
        <v>344</v>
      </c>
      <c r="M3429" s="390">
        <v>46058.870069444441</v>
      </c>
      <c r="N3429" s="368" t="s">
        <v>356</v>
      </c>
      <c r="O3429" s="368" t="s">
        <v>364</v>
      </c>
      <c r="P3429" s="367" t="str">
        <f t="shared" si="122"/>
        <v>Revenue</v>
      </c>
      <c r="Q3429" s="366" t="s">
        <v>2232</v>
      </c>
      <c r="R3429" s="366" t="s">
        <v>2232</v>
      </c>
      <c r="S3429" s="366" t="s">
        <v>2533</v>
      </c>
    </row>
    <row r="3430" spans="1:19" ht="15" hidden="1" outlineLevel="1">
      <c r="B3430" s="384">
        <v>2026</v>
      </c>
      <c r="C3430" s="384">
        <v>8</v>
      </c>
      <c r="D3430" s="367" t="s">
        <v>5</v>
      </c>
      <c r="E3430" s="367" t="s">
        <v>6</v>
      </c>
      <c r="F3430" s="389" t="s">
        <v>5529</v>
      </c>
      <c r="G3430" s="385">
        <v>46057</v>
      </c>
      <c r="H3430" s="367" t="s">
        <v>7</v>
      </c>
      <c r="I3430" s="368" t="str">
        <f>VLOOKUP(H3430,'Source Codes'!A$2:B$115,2,FALSE)</f>
        <v>HRMS Interface Journals</v>
      </c>
      <c r="J3430" s="412">
        <v>-2676347.08</v>
      </c>
      <c r="K3430" s="385">
        <v>46058</v>
      </c>
      <c r="L3430" s="369" t="s">
        <v>409</v>
      </c>
      <c r="M3430" s="390">
        <v>46058.374918981484</v>
      </c>
      <c r="N3430" s="368" t="s">
        <v>378</v>
      </c>
      <c r="O3430" s="368" t="s">
        <v>379</v>
      </c>
      <c r="P3430" s="367" t="str">
        <f t="shared" si="122"/>
        <v>Expense</v>
      </c>
      <c r="Q3430" s="366" t="s">
        <v>379</v>
      </c>
      <c r="R3430" s="366" t="s">
        <v>5534</v>
      </c>
      <c r="S3430" s="366">
        <v>513120</v>
      </c>
    </row>
    <row r="3431" spans="1:19" ht="15" hidden="1" outlineLevel="1">
      <c r="B3431" s="384">
        <v>2026</v>
      </c>
      <c r="C3431" s="384">
        <v>8</v>
      </c>
      <c r="D3431" s="367" t="s">
        <v>5</v>
      </c>
      <c r="E3431" s="367" t="s">
        <v>6</v>
      </c>
      <c r="F3431" s="389" t="s">
        <v>5530</v>
      </c>
      <c r="G3431" s="385">
        <v>46055</v>
      </c>
      <c r="H3431" s="367" t="s">
        <v>13</v>
      </c>
      <c r="I3431" s="368" t="str">
        <f>VLOOKUP(H3431,'Source Codes'!A$2:B$115,2,FALSE)</f>
        <v>C-IV Voucher/Payments/EBT</v>
      </c>
      <c r="J3431" s="412">
        <v>-10376601.75</v>
      </c>
      <c r="K3431" s="385">
        <v>46058</v>
      </c>
      <c r="L3431" s="369" t="s">
        <v>5533</v>
      </c>
      <c r="M3431" s="390">
        <v>46058.870081018518</v>
      </c>
      <c r="N3431" s="368" t="s">
        <v>356</v>
      </c>
      <c r="O3431" s="368" t="s">
        <v>364</v>
      </c>
      <c r="P3431" s="367" t="str">
        <f t="shared" si="122"/>
        <v>Expense</v>
      </c>
      <c r="Q3431" s="366" t="s">
        <v>2204</v>
      </c>
      <c r="R3431" s="393">
        <v>46054</v>
      </c>
      <c r="S3431" s="366">
        <v>530480</v>
      </c>
    </row>
    <row r="3432" spans="1:19" ht="15" hidden="1" outlineLevel="1">
      <c r="B3432" s="384">
        <v>2026</v>
      </c>
      <c r="C3432" s="384">
        <v>8</v>
      </c>
      <c r="D3432" s="367" t="s">
        <v>5</v>
      </c>
      <c r="E3432" s="367" t="s">
        <v>6</v>
      </c>
      <c r="F3432" s="389" t="s">
        <v>5531</v>
      </c>
      <c r="G3432" s="385">
        <v>46057</v>
      </c>
      <c r="H3432" s="367" t="s">
        <v>7</v>
      </c>
      <c r="I3432" s="368" t="str">
        <f>VLOOKUP(H3432,'Source Codes'!A$2:B$115,2,FALSE)</f>
        <v>HRMS Interface Journals</v>
      </c>
      <c r="J3432" s="412">
        <v>-11179789.15</v>
      </c>
      <c r="K3432" s="385">
        <v>46058</v>
      </c>
      <c r="L3432" s="369" t="s">
        <v>407</v>
      </c>
      <c r="M3432" s="390">
        <v>46058.364537037036</v>
      </c>
      <c r="N3432" s="368" t="s">
        <v>378</v>
      </c>
      <c r="O3432" s="368" t="s">
        <v>379</v>
      </c>
      <c r="P3432" s="367" t="str">
        <f t="shared" si="122"/>
        <v>Expense</v>
      </c>
      <c r="Q3432" s="366" t="s">
        <v>379</v>
      </c>
      <c r="R3432" s="366" t="s">
        <v>5534</v>
      </c>
      <c r="S3432" s="366" t="s">
        <v>203</v>
      </c>
    </row>
    <row r="3433" spans="1:19" ht="15" hidden="1" outlineLevel="1">
      <c r="B3433" s="384">
        <v>2026</v>
      </c>
      <c r="C3433" s="384">
        <v>8</v>
      </c>
      <c r="D3433" s="367" t="s">
        <v>5</v>
      </c>
      <c r="E3433" s="367" t="s">
        <v>6</v>
      </c>
      <c r="F3433" s="389" t="s">
        <v>5532</v>
      </c>
      <c r="G3433" s="385">
        <v>46057</v>
      </c>
      <c r="H3433" s="367" t="s">
        <v>7</v>
      </c>
      <c r="I3433" s="368" t="str">
        <f>VLOOKUP(H3433,'Source Codes'!A$2:B$115,2,FALSE)</f>
        <v>HRMS Interface Journals</v>
      </c>
      <c r="J3433" s="412">
        <v>-76863427.739999995</v>
      </c>
      <c r="K3433" s="385">
        <v>46058</v>
      </c>
      <c r="L3433" s="369" t="s">
        <v>406</v>
      </c>
      <c r="M3433" s="390">
        <v>46058.373194444444</v>
      </c>
      <c r="N3433" s="368" t="s">
        <v>378</v>
      </c>
      <c r="O3433" s="368" t="s">
        <v>371</v>
      </c>
      <c r="P3433" s="367" t="str">
        <f t="shared" si="122"/>
        <v>Expense</v>
      </c>
      <c r="Q3433" s="366" t="s">
        <v>379</v>
      </c>
      <c r="R3433" s="366" t="s">
        <v>5534</v>
      </c>
      <c r="S3433" s="366" t="s">
        <v>203</v>
      </c>
    </row>
    <row r="3434" spans="1:19" ht="12.75" customHeight="1" collapsed="1">
      <c r="I3434" s="368"/>
      <c r="J3434" s="413">
        <f>SUM(J3428:J3433)</f>
        <v>-85469867.719999999</v>
      </c>
      <c r="P3434" s="367"/>
    </row>
    <row r="3435" spans="1:19" ht="12.75" customHeight="1">
      <c r="A3435" s="378"/>
      <c r="I3435" s="368"/>
      <c r="P3435" s="367"/>
    </row>
    <row r="3436" spans="1:19" ht="12.75" customHeight="1">
      <c r="A3436" s="378" t="s">
        <v>5535</v>
      </c>
      <c r="I3436" s="368"/>
      <c r="P3436" s="367"/>
    </row>
    <row r="3437" spans="1:19" ht="15" hidden="1" outlineLevel="1">
      <c r="B3437" s="384">
        <v>2026</v>
      </c>
      <c r="C3437" s="384">
        <v>8</v>
      </c>
      <c r="D3437" s="367" t="s">
        <v>5</v>
      </c>
      <c r="E3437" s="367" t="s">
        <v>6</v>
      </c>
      <c r="F3437" s="389" t="s">
        <v>5536</v>
      </c>
      <c r="G3437" s="385">
        <v>46056</v>
      </c>
      <c r="H3437" s="367" t="s">
        <v>337</v>
      </c>
      <c r="I3437" s="368" t="str">
        <f>VLOOKUP(H3437,'Source Codes'!A$2:B$115,2,FALSE)</f>
        <v>Facilities Mngmnt Intfc Jrnls</v>
      </c>
      <c r="J3437" s="412">
        <v>-2706598.43</v>
      </c>
      <c r="K3437" s="385">
        <v>46062</v>
      </c>
      <c r="L3437" s="369" t="s">
        <v>5538</v>
      </c>
      <c r="M3437" s="390">
        <v>46062.869513888887</v>
      </c>
      <c r="N3437" s="368" t="s">
        <v>356</v>
      </c>
      <c r="O3437" s="368" t="s">
        <v>367</v>
      </c>
      <c r="P3437" s="367" t="str">
        <f t="shared" ref="P3437:P3441" si="123">IF(J3437&gt;0,"Revenue",IF(J3437&lt;0,"Expense"))</f>
        <v>Expense</v>
      </c>
      <c r="Q3437" s="366" t="s">
        <v>2337</v>
      </c>
      <c r="R3437" s="366" t="s">
        <v>5540</v>
      </c>
      <c r="S3437" s="366">
        <v>522385</v>
      </c>
    </row>
    <row r="3438" spans="1:19" ht="30" hidden="1" outlineLevel="1">
      <c r="B3438" s="384">
        <v>2026</v>
      </c>
      <c r="C3438" s="384">
        <v>8</v>
      </c>
      <c r="D3438" s="367" t="s">
        <v>5</v>
      </c>
      <c r="E3438" s="367" t="s">
        <v>6</v>
      </c>
      <c r="F3438" s="389" t="s">
        <v>5537</v>
      </c>
      <c r="G3438" s="385">
        <v>46056</v>
      </c>
      <c r="H3438" s="367" t="s">
        <v>337</v>
      </c>
      <c r="I3438" s="368" t="str">
        <f>VLOOKUP(H3438,'Source Codes'!A$2:B$115,2,FALSE)</f>
        <v>Facilities Mngmnt Intfc Jrnls</v>
      </c>
      <c r="J3438" s="412">
        <v>-1174682.03</v>
      </c>
      <c r="K3438" s="385">
        <v>46062</v>
      </c>
      <c r="L3438" s="369" t="s">
        <v>5539</v>
      </c>
      <c r="M3438" s="390">
        <v>46062.869513888887</v>
      </c>
      <c r="N3438" s="368" t="s">
        <v>356</v>
      </c>
      <c r="O3438" s="368" t="s">
        <v>367</v>
      </c>
      <c r="P3438" s="367" t="str">
        <f t="shared" si="123"/>
        <v>Expense</v>
      </c>
      <c r="Q3438" s="366" t="s">
        <v>2337</v>
      </c>
      <c r="R3438" s="366" t="s">
        <v>5541</v>
      </c>
      <c r="S3438" s="366">
        <v>522365</v>
      </c>
    </row>
    <row r="3439" spans="1:19" ht="30" hidden="1" outlineLevel="1">
      <c r="B3439" s="384">
        <v>2026</v>
      </c>
      <c r="C3439" s="384">
        <v>8</v>
      </c>
      <c r="D3439" s="367" t="s">
        <v>5</v>
      </c>
      <c r="E3439" s="367" t="s">
        <v>6</v>
      </c>
      <c r="F3439" s="389" t="s">
        <v>5542</v>
      </c>
      <c r="G3439" s="385">
        <v>46062</v>
      </c>
      <c r="H3439" s="367" t="s">
        <v>9</v>
      </c>
      <c r="I3439" s="368" t="str">
        <f>VLOOKUP(H3439,'Source Codes'!A$2:B$115,2,FALSE)</f>
        <v>On Line Journal Entries</v>
      </c>
      <c r="J3439" s="412">
        <v>1469656</v>
      </c>
      <c r="K3439" s="385">
        <v>46062</v>
      </c>
      <c r="L3439" s="369" t="s">
        <v>5545</v>
      </c>
      <c r="M3439" s="390">
        <v>46062.869479166664</v>
      </c>
      <c r="N3439" s="368" t="s">
        <v>4274</v>
      </c>
      <c r="O3439" s="368" t="s">
        <v>371</v>
      </c>
      <c r="P3439" s="367" t="str">
        <f t="shared" si="123"/>
        <v>Revenue</v>
      </c>
      <c r="Q3439" s="366" t="s">
        <v>2158</v>
      </c>
      <c r="R3439" s="366" t="s">
        <v>5546</v>
      </c>
      <c r="S3439" s="366">
        <v>790600</v>
      </c>
    </row>
    <row r="3440" spans="1:19" ht="30" hidden="1" outlineLevel="1">
      <c r="B3440" s="384">
        <v>2026</v>
      </c>
      <c r="C3440" s="384">
        <v>8</v>
      </c>
      <c r="D3440" s="367" t="s">
        <v>5</v>
      </c>
      <c r="E3440" s="367" t="s">
        <v>6</v>
      </c>
      <c r="F3440" s="389" t="s">
        <v>5543</v>
      </c>
      <c r="G3440" s="385">
        <v>46057</v>
      </c>
      <c r="H3440" s="367" t="s">
        <v>9</v>
      </c>
      <c r="I3440" s="368" t="str">
        <f>VLOOKUP(H3440,'Source Codes'!A$2:B$115,2,FALSE)</f>
        <v>On Line Journal Entries</v>
      </c>
      <c r="J3440" s="412">
        <v>7029988</v>
      </c>
      <c r="K3440" s="385">
        <v>46062</v>
      </c>
      <c r="L3440" s="369" t="s">
        <v>344</v>
      </c>
      <c r="M3440" s="390">
        <v>46062.869479166664</v>
      </c>
      <c r="N3440" s="368" t="s">
        <v>356</v>
      </c>
      <c r="O3440" s="368" t="s">
        <v>364</v>
      </c>
      <c r="P3440" s="367" t="str">
        <f t="shared" si="123"/>
        <v>Revenue</v>
      </c>
      <c r="Q3440" s="366" t="s">
        <v>2232</v>
      </c>
      <c r="R3440" s="366" t="s">
        <v>2232</v>
      </c>
      <c r="S3440" s="366" t="s">
        <v>2533</v>
      </c>
    </row>
    <row r="3441" spans="1:19" ht="30" hidden="1" outlineLevel="1">
      <c r="B3441" s="384">
        <v>2026</v>
      </c>
      <c r="C3441" s="384">
        <v>8</v>
      </c>
      <c r="D3441" s="367" t="s">
        <v>5</v>
      </c>
      <c r="E3441" s="367" t="s">
        <v>6</v>
      </c>
      <c r="F3441" s="389" t="s">
        <v>5544</v>
      </c>
      <c r="G3441" s="385">
        <v>46057</v>
      </c>
      <c r="H3441" s="367" t="s">
        <v>9</v>
      </c>
      <c r="I3441" s="368" t="str">
        <f>VLOOKUP(H3441,'Source Codes'!A$2:B$115,2,FALSE)</f>
        <v>On Line Journal Entries</v>
      </c>
      <c r="J3441" s="412">
        <v>10152481</v>
      </c>
      <c r="K3441" s="385">
        <v>46062</v>
      </c>
      <c r="L3441" s="369" t="s">
        <v>344</v>
      </c>
      <c r="M3441" s="390">
        <v>46062.869479166664</v>
      </c>
      <c r="N3441" s="368" t="s">
        <v>356</v>
      </c>
      <c r="O3441" s="368" t="s">
        <v>364</v>
      </c>
      <c r="P3441" s="367" t="str">
        <f t="shared" si="123"/>
        <v>Revenue</v>
      </c>
      <c r="Q3441" s="366" t="s">
        <v>2232</v>
      </c>
      <c r="R3441" s="366" t="s">
        <v>2232</v>
      </c>
      <c r="S3441" s="366" t="s">
        <v>2233</v>
      </c>
    </row>
    <row r="3442" spans="1:19" ht="12.75" customHeight="1" collapsed="1">
      <c r="J3442" s="413">
        <f>SUM(J3437:J3441)</f>
        <v>14770844.539999999</v>
      </c>
    </row>
    <row r="3444" spans="1:19" ht="12.75" customHeight="1">
      <c r="A3444" s="378" t="s">
        <v>5547</v>
      </c>
    </row>
    <row r="3445" spans="1:19" ht="30" hidden="1" outlineLevel="1">
      <c r="B3445" s="384">
        <v>2026</v>
      </c>
      <c r="C3445" s="384">
        <v>8</v>
      </c>
      <c r="D3445" s="367" t="s">
        <v>5</v>
      </c>
      <c r="E3445" s="367" t="s">
        <v>6</v>
      </c>
      <c r="F3445" s="389" t="s">
        <v>5548</v>
      </c>
      <c r="G3445" s="385">
        <v>46063</v>
      </c>
      <c r="H3445" s="367" t="s">
        <v>14</v>
      </c>
      <c r="I3445" s="368" t="str">
        <f>VLOOKUP(H3445,'Source Codes'!A$2:B$115,2,FALSE)</f>
        <v>AP Warrant Issuance</v>
      </c>
      <c r="J3445" s="412">
        <v>-1492432.86</v>
      </c>
      <c r="K3445" s="385">
        <v>46063</v>
      </c>
      <c r="L3445" s="369" t="s">
        <v>5552</v>
      </c>
      <c r="M3445" s="390">
        <v>46063.758379629631</v>
      </c>
      <c r="N3445" s="366" t="s">
        <v>356</v>
      </c>
      <c r="O3445" s="367" t="s">
        <v>368</v>
      </c>
      <c r="P3445" s="367" t="str">
        <f t="shared" ref="P3445:P3448" si="124">IF(J3445&gt;0,"Revenue",IF(J3445&lt;0,"Expense"))</f>
        <v>Expense</v>
      </c>
      <c r="Q3445" s="366" t="s">
        <v>2154</v>
      </c>
      <c r="R3445" s="366" t="s">
        <v>2154</v>
      </c>
      <c r="S3445" s="366" t="s">
        <v>203</v>
      </c>
    </row>
    <row r="3446" spans="1:19" ht="30" hidden="1" outlineLevel="1">
      <c r="B3446" s="384">
        <v>2026</v>
      </c>
      <c r="C3446" s="384">
        <v>8</v>
      </c>
      <c r="D3446" s="367" t="s">
        <v>5</v>
      </c>
      <c r="E3446" s="367" t="s">
        <v>6</v>
      </c>
      <c r="F3446" s="389" t="s">
        <v>5549</v>
      </c>
      <c r="G3446" s="385">
        <v>46065</v>
      </c>
      <c r="H3446" s="367" t="s">
        <v>14</v>
      </c>
      <c r="I3446" s="368" t="str">
        <f>VLOOKUP(H3446,'Source Codes'!A$2:B$115,2,FALSE)</f>
        <v>AP Warrant Issuance</v>
      </c>
      <c r="J3446" s="412">
        <v>-1170748.96</v>
      </c>
      <c r="K3446" s="385">
        <v>46063</v>
      </c>
      <c r="L3446" s="369" t="s">
        <v>5553</v>
      </c>
      <c r="M3446" s="390">
        <v>46063.758379629631</v>
      </c>
      <c r="N3446" s="366" t="s">
        <v>356</v>
      </c>
      <c r="O3446" s="367" t="s">
        <v>368</v>
      </c>
      <c r="P3446" s="367" t="str">
        <f t="shared" si="124"/>
        <v>Expense</v>
      </c>
      <c r="Q3446" s="366" t="s">
        <v>2154</v>
      </c>
      <c r="R3446" s="366" t="s">
        <v>2154</v>
      </c>
      <c r="S3446" s="366" t="s">
        <v>203</v>
      </c>
    </row>
    <row r="3447" spans="1:19" ht="60" hidden="1" outlineLevel="1">
      <c r="B3447" s="384">
        <v>2026</v>
      </c>
      <c r="C3447" s="384">
        <v>8</v>
      </c>
      <c r="D3447" s="367" t="s">
        <v>5</v>
      </c>
      <c r="E3447" s="367" t="s">
        <v>6</v>
      </c>
      <c r="F3447" s="389" t="s">
        <v>5550</v>
      </c>
      <c r="G3447" s="385">
        <v>46063</v>
      </c>
      <c r="H3447" s="367" t="s">
        <v>11</v>
      </c>
      <c r="I3447" s="368" t="str">
        <f>VLOOKUP(H3447,'Source Codes'!A$2:B$115,2,FALSE)</f>
        <v>AR Payments</v>
      </c>
      <c r="J3447" s="412">
        <v>3208494.44</v>
      </c>
      <c r="K3447" s="385">
        <v>46063</v>
      </c>
      <c r="L3447" s="369" t="s">
        <v>5554</v>
      </c>
      <c r="M3447" s="390">
        <v>46063.752164351848</v>
      </c>
      <c r="N3447" s="366" t="s">
        <v>359</v>
      </c>
      <c r="O3447" s="367" t="s">
        <v>357</v>
      </c>
      <c r="P3447" s="367" t="str">
        <f t="shared" si="124"/>
        <v>Revenue</v>
      </c>
      <c r="Q3447" s="366" t="s">
        <v>2157</v>
      </c>
      <c r="R3447" s="366" t="s">
        <v>2157</v>
      </c>
      <c r="S3447" s="366" t="s">
        <v>4188</v>
      </c>
    </row>
    <row r="3448" spans="1:19" ht="60" hidden="1" outlineLevel="1">
      <c r="B3448" s="384">
        <v>2026</v>
      </c>
      <c r="C3448" s="384">
        <v>8</v>
      </c>
      <c r="D3448" s="367" t="s">
        <v>5</v>
      </c>
      <c r="E3448" s="367" t="s">
        <v>6</v>
      </c>
      <c r="F3448" s="389" t="s">
        <v>5551</v>
      </c>
      <c r="G3448" s="385">
        <v>46062</v>
      </c>
      <c r="H3448" s="367" t="s">
        <v>11</v>
      </c>
      <c r="I3448" s="368" t="str">
        <f>VLOOKUP(H3448,'Source Codes'!A$2:B$115,2,FALSE)</f>
        <v>AR Payments</v>
      </c>
      <c r="J3448" s="412">
        <v>5772802.21</v>
      </c>
      <c r="K3448" s="385">
        <v>46063</v>
      </c>
      <c r="L3448" s="369" t="s">
        <v>5555</v>
      </c>
      <c r="M3448" s="390">
        <v>46063.752164351848</v>
      </c>
      <c r="N3448" s="366" t="s">
        <v>359</v>
      </c>
      <c r="O3448" s="367" t="s">
        <v>357</v>
      </c>
      <c r="P3448" s="367" t="str">
        <f t="shared" si="124"/>
        <v>Revenue</v>
      </c>
      <c r="Q3448" s="366" t="s">
        <v>2157</v>
      </c>
      <c r="R3448" s="366" t="s">
        <v>2157</v>
      </c>
      <c r="S3448" s="366" t="s">
        <v>2911</v>
      </c>
    </row>
    <row r="3449" spans="1:19" ht="12.75" customHeight="1" collapsed="1">
      <c r="J3449" s="413">
        <f>SUM(J3445:J3448)</f>
        <v>6318114.8300000001</v>
      </c>
    </row>
    <row r="3451" spans="1:19" ht="12.75" customHeight="1">
      <c r="A3451" s="378" t="s">
        <v>5556</v>
      </c>
    </row>
    <row r="3452" spans="1:19" ht="30" hidden="1" outlineLevel="1">
      <c r="B3452" s="384">
        <v>2026</v>
      </c>
      <c r="C3452" s="384">
        <v>8</v>
      </c>
      <c r="D3452" s="367" t="s">
        <v>5</v>
      </c>
      <c r="E3452" s="367" t="s">
        <v>6</v>
      </c>
      <c r="F3452" s="389" t="s">
        <v>5557</v>
      </c>
      <c r="G3452" s="385">
        <v>46064</v>
      </c>
      <c r="H3452" s="367" t="s">
        <v>14</v>
      </c>
      <c r="I3452" s="368" t="str">
        <f>VLOOKUP(H3452,'Source Codes'!A$2:B$115,2,FALSE)</f>
        <v>AP Warrant Issuance</v>
      </c>
      <c r="J3452" s="412">
        <v>-2657050.91</v>
      </c>
      <c r="K3452" s="385">
        <v>46064</v>
      </c>
      <c r="L3452" s="369" t="s">
        <v>5565</v>
      </c>
      <c r="M3452" s="390">
        <v>46064.759814814817</v>
      </c>
      <c r="N3452" s="366" t="s">
        <v>356</v>
      </c>
      <c r="O3452" s="367" t="s">
        <v>368</v>
      </c>
      <c r="P3452" s="367" t="str">
        <f t="shared" ref="P3452:P3459" si="125">IF(J3452&gt;0,"Revenue",IF(J3452&lt;0,"Expense"))</f>
        <v>Expense</v>
      </c>
      <c r="Q3452" s="366" t="s">
        <v>2154</v>
      </c>
      <c r="R3452" s="366" t="s">
        <v>2154</v>
      </c>
      <c r="S3452" s="366" t="s">
        <v>203</v>
      </c>
    </row>
    <row r="3453" spans="1:19" ht="30" hidden="1" outlineLevel="1">
      <c r="B3453" s="384">
        <v>2026</v>
      </c>
      <c r="C3453" s="384">
        <v>8</v>
      </c>
      <c r="D3453" s="367" t="s">
        <v>5</v>
      </c>
      <c r="E3453" s="367" t="s">
        <v>6</v>
      </c>
      <c r="F3453" s="389" t="s">
        <v>5558</v>
      </c>
      <c r="G3453" s="385">
        <v>46066</v>
      </c>
      <c r="H3453" s="367" t="s">
        <v>14</v>
      </c>
      <c r="I3453" s="368" t="str">
        <f>VLOOKUP(H3453,'Source Codes'!A$2:B$115,2,FALSE)</f>
        <v>AP Warrant Issuance</v>
      </c>
      <c r="J3453" s="412">
        <v>-2146441.0499999998</v>
      </c>
      <c r="K3453" s="385">
        <v>46064</v>
      </c>
      <c r="L3453" s="369" t="s">
        <v>5566</v>
      </c>
      <c r="M3453" s="390">
        <v>46064.759814814817</v>
      </c>
      <c r="N3453" s="366" t="s">
        <v>356</v>
      </c>
      <c r="O3453" s="367" t="s">
        <v>368</v>
      </c>
      <c r="P3453" s="367" t="str">
        <f t="shared" si="125"/>
        <v>Expense</v>
      </c>
      <c r="Q3453" s="366" t="s">
        <v>2154</v>
      </c>
      <c r="R3453" s="366" t="s">
        <v>2154</v>
      </c>
      <c r="S3453" s="366" t="s">
        <v>203</v>
      </c>
    </row>
    <row r="3454" spans="1:19" ht="30" hidden="1" outlineLevel="1">
      <c r="B3454" s="384">
        <v>2026</v>
      </c>
      <c r="C3454" s="384">
        <v>8</v>
      </c>
      <c r="D3454" s="367" t="s">
        <v>5</v>
      </c>
      <c r="E3454" s="367" t="s">
        <v>6</v>
      </c>
      <c r="F3454" s="389" t="s">
        <v>5559</v>
      </c>
      <c r="G3454" s="385">
        <v>46058</v>
      </c>
      <c r="H3454" s="367" t="s">
        <v>12</v>
      </c>
      <c r="I3454" s="368" t="str">
        <f>VLOOKUP(H3454,'Source Codes'!A$2:B$115,2,FALSE)</f>
        <v>AR Direct Cash Journal</v>
      </c>
      <c r="J3454" s="412">
        <v>1101426.45</v>
      </c>
      <c r="K3454" s="385">
        <v>46064</v>
      </c>
      <c r="L3454" s="369" t="s">
        <v>5567</v>
      </c>
      <c r="M3454" s="390">
        <v>46064.752337962964</v>
      </c>
      <c r="N3454" s="366" t="s">
        <v>356</v>
      </c>
      <c r="O3454" s="367" t="s">
        <v>370</v>
      </c>
      <c r="P3454" s="367" t="str">
        <f t="shared" si="125"/>
        <v>Revenue</v>
      </c>
      <c r="Q3454" s="366" t="s">
        <v>2264</v>
      </c>
      <c r="R3454" s="366" t="s">
        <v>2264</v>
      </c>
      <c r="S3454" s="366">
        <v>779110</v>
      </c>
    </row>
    <row r="3455" spans="1:19" ht="60" hidden="1" outlineLevel="1">
      <c r="B3455" s="384">
        <v>2026</v>
      </c>
      <c r="C3455" s="384">
        <v>8</v>
      </c>
      <c r="D3455" s="367" t="s">
        <v>5</v>
      </c>
      <c r="E3455" s="367" t="s">
        <v>6</v>
      </c>
      <c r="F3455" s="389" t="s">
        <v>5560</v>
      </c>
      <c r="G3455" s="385">
        <v>46064</v>
      </c>
      <c r="H3455" s="367" t="s">
        <v>11</v>
      </c>
      <c r="I3455" s="368" t="str">
        <f>VLOOKUP(H3455,'Source Codes'!A$2:B$115,2,FALSE)</f>
        <v>AR Payments</v>
      </c>
      <c r="J3455" s="412">
        <v>1268106.05</v>
      </c>
      <c r="K3455" s="385">
        <v>46064</v>
      </c>
      <c r="L3455" s="369" t="s">
        <v>5568</v>
      </c>
      <c r="M3455" s="390">
        <v>46064.752337962964</v>
      </c>
      <c r="N3455" s="366" t="s">
        <v>359</v>
      </c>
      <c r="O3455" s="367" t="s">
        <v>357</v>
      </c>
      <c r="P3455" s="367" t="str">
        <f t="shared" si="125"/>
        <v>Revenue</v>
      </c>
      <c r="Q3455" s="366" t="s">
        <v>2157</v>
      </c>
      <c r="R3455" s="366" t="s">
        <v>2157</v>
      </c>
      <c r="S3455" s="366" t="s">
        <v>4188</v>
      </c>
    </row>
    <row r="3456" spans="1:19" ht="30" hidden="1" outlineLevel="1">
      <c r="B3456" s="384">
        <v>2026</v>
      </c>
      <c r="C3456" s="384">
        <v>8</v>
      </c>
      <c r="D3456" s="367" t="s">
        <v>5</v>
      </c>
      <c r="E3456" s="367" t="s">
        <v>6</v>
      </c>
      <c r="F3456" s="389" t="s">
        <v>5561</v>
      </c>
      <c r="G3456" s="385">
        <v>46059</v>
      </c>
      <c r="H3456" s="367" t="s">
        <v>9</v>
      </c>
      <c r="I3456" s="368" t="str">
        <f>VLOOKUP(H3456,'Source Codes'!A$2:B$115,2,FALSE)</f>
        <v>On Line Journal Entries</v>
      </c>
      <c r="J3456" s="412">
        <v>10284875.470000001</v>
      </c>
      <c r="K3456" s="385">
        <v>46064</v>
      </c>
      <c r="L3456" s="369" t="s">
        <v>344</v>
      </c>
      <c r="M3456" s="390">
        <v>46064.870185185187</v>
      </c>
      <c r="N3456" s="366" t="s">
        <v>356</v>
      </c>
      <c r="O3456" s="367" t="s">
        <v>364</v>
      </c>
      <c r="P3456" s="367" t="str">
        <f t="shared" si="125"/>
        <v>Revenue</v>
      </c>
      <c r="Q3456" s="366" t="s">
        <v>2232</v>
      </c>
      <c r="R3456" s="366" t="s">
        <v>2232</v>
      </c>
      <c r="S3456" s="366" t="s">
        <v>2532</v>
      </c>
    </row>
    <row r="3457" spans="1:19" ht="30" hidden="1" outlineLevel="1">
      <c r="B3457" s="384">
        <v>2026</v>
      </c>
      <c r="C3457" s="384">
        <v>8</v>
      </c>
      <c r="D3457" s="367" t="s">
        <v>5</v>
      </c>
      <c r="E3457" s="367" t="s">
        <v>6</v>
      </c>
      <c r="F3457" s="389" t="s">
        <v>5562</v>
      </c>
      <c r="G3457" s="385">
        <v>46059</v>
      </c>
      <c r="H3457" s="367" t="s">
        <v>9</v>
      </c>
      <c r="I3457" s="368" t="str">
        <f>VLOOKUP(H3457,'Source Codes'!A$2:B$115,2,FALSE)</f>
        <v>On Line Journal Entries</v>
      </c>
      <c r="J3457" s="412">
        <v>8699124</v>
      </c>
      <c r="K3457" s="385">
        <v>46064</v>
      </c>
      <c r="L3457" s="369" t="s">
        <v>344</v>
      </c>
      <c r="M3457" s="390">
        <v>46064.870185185187</v>
      </c>
      <c r="N3457" s="366" t="s">
        <v>356</v>
      </c>
      <c r="O3457" s="367" t="s">
        <v>364</v>
      </c>
      <c r="P3457" s="367" t="str">
        <f t="shared" si="125"/>
        <v>Revenue</v>
      </c>
      <c r="Q3457" s="366" t="s">
        <v>2232</v>
      </c>
      <c r="R3457" s="366" t="s">
        <v>2232</v>
      </c>
      <c r="S3457" s="366" t="s">
        <v>2533</v>
      </c>
    </row>
    <row r="3458" spans="1:19" ht="30" hidden="1" outlineLevel="1">
      <c r="B3458" s="384">
        <v>2026</v>
      </c>
      <c r="C3458" s="384">
        <v>8</v>
      </c>
      <c r="D3458" s="367" t="s">
        <v>5</v>
      </c>
      <c r="E3458" s="367" t="s">
        <v>6</v>
      </c>
      <c r="F3458" s="389" t="s">
        <v>5563</v>
      </c>
      <c r="G3458" s="385">
        <v>46057</v>
      </c>
      <c r="H3458" s="367" t="s">
        <v>9</v>
      </c>
      <c r="I3458" s="368" t="str">
        <f>VLOOKUP(H3458,'Source Codes'!A$2:B$115,2,FALSE)</f>
        <v>On Line Journal Entries</v>
      </c>
      <c r="J3458" s="412">
        <v>4755653</v>
      </c>
      <c r="K3458" s="385">
        <v>46064</v>
      </c>
      <c r="L3458" s="369" t="s">
        <v>344</v>
      </c>
      <c r="M3458" s="390">
        <v>46064.870185185187</v>
      </c>
      <c r="N3458" s="366" t="s">
        <v>356</v>
      </c>
      <c r="O3458" s="367" t="s">
        <v>364</v>
      </c>
      <c r="P3458" s="367" t="str">
        <f t="shared" si="125"/>
        <v>Revenue</v>
      </c>
      <c r="Q3458" s="366" t="s">
        <v>2232</v>
      </c>
      <c r="R3458" s="366" t="s">
        <v>2232</v>
      </c>
      <c r="S3458" s="366" t="s">
        <v>2233</v>
      </c>
    </row>
    <row r="3459" spans="1:19" ht="30" hidden="1" outlineLevel="1">
      <c r="B3459" s="384">
        <v>2026</v>
      </c>
      <c r="C3459" s="384">
        <v>8</v>
      </c>
      <c r="D3459" s="367" t="s">
        <v>5</v>
      </c>
      <c r="E3459" s="367" t="s">
        <v>6</v>
      </c>
      <c r="F3459" s="389" t="s">
        <v>5564</v>
      </c>
      <c r="G3459" s="385">
        <v>46059</v>
      </c>
      <c r="H3459" s="367" t="s">
        <v>9</v>
      </c>
      <c r="I3459" s="368" t="str">
        <f>VLOOKUP(H3459,'Source Codes'!A$2:B$115,2,FALSE)</f>
        <v>On Line Journal Entries</v>
      </c>
      <c r="J3459" s="412">
        <v>2259569</v>
      </c>
      <c r="K3459" s="385">
        <v>46064</v>
      </c>
      <c r="L3459" s="369" t="s">
        <v>344</v>
      </c>
      <c r="M3459" s="390">
        <v>46064.870185185187</v>
      </c>
      <c r="N3459" s="366" t="s">
        <v>356</v>
      </c>
      <c r="O3459" s="367" t="s">
        <v>364</v>
      </c>
      <c r="P3459" s="367" t="str">
        <f t="shared" si="125"/>
        <v>Revenue</v>
      </c>
      <c r="Q3459" s="366" t="s">
        <v>2232</v>
      </c>
      <c r="R3459" s="366" t="s">
        <v>2232</v>
      </c>
      <c r="S3459" s="366" t="s">
        <v>2533</v>
      </c>
    </row>
    <row r="3460" spans="1:19" ht="15" collapsed="1">
      <c r="J3460" s="413">
        <f>SUM(J3452:J3459)</f>
        <v>23565262.010000002</v>
      </c>
    </row>
    <row r="3462" spans="1:19" ht="12.75" customHeight="1">
      <c r="A3462" s="378" t="s">
        <v>5569</v>
      </c>
    </row>
    <row r="3463" spans="1:19" ht="60" hidden="1" outlineLevel="1">
      <c r="B3463" s="384">
        <v>2026</v>
      </c>
      <c r="C3463" s="384">
        <v>8</v>
      </c>
      <c r="D3463" s="367" t="s">
        <v>5</v>
      </c>
      <c r="E3463" s="367" t="s">
        <v>6</v>
      </c>
      <c r="F3463" s="389" t="s">
        <v>5570</v>
      </c>
      <c r="G3463" s="385">
        <v>46058</v>
      </c>
      <c r="H3463" s="367" t="s">
        <v>12</v>
      </c>
      <c r="I3463" s="368" t="str">
        <f>VLOOKUP(H3463,'Source Codes'!A$2:B$115,2,FALSE)</f>
        <v>AR Direct Cash Journal</v>
      </c>
      <c r="J3463" s="412">
        <v>5116771.22</v>
      </c>
      <c r="K3463" s="385">
        <v>46066</v>
      </c>
      <c r="L3463" s="369" t="s">
        <v>5581</v>
      </c>
      <c r="M3463" s="390">
        <v>46066.75240740741</v>
      </c>
      <c r="N3463" s="366" t="s">
        <v>356</v>
      </c>
      <c r="O3463" s="367" t="s">
        <v>370</v>
      </c>
      <c r="P3463" s="367" t="str">
        <f t="shared" ref="P3463:P3469" si="126">IF(J3463&gt;0,"Revenue",IF(J3463&lt;0,"Expense"))</f>
        <v>Revenue</v>
      </c>
      <c r="Q3463" s="366" t="s">
        <v>2264</v>
      </c>
      <c r="R3463" s="366" t="s">
        <v>2264</v>
      </c>
      <c r="S3463" s="366" t="s">
        <v>5580</v>
      </c>
    </row>
    <row r="3464" spans="1:19" ht="90" hidden="1" outlineLevel="1">
      <c r="B3464" s="384">
        <v>2026</v>
      </c>
      <c r="C3464" s="384">
        <v>8</v>
      </c>
      <c r="D3464" s="367" t="s">
        <v>5</v>
      </c>
      <c r="E3464" s="367" t="s">
        <v>6</v>
      </c>
      <c r="F3464" s="389" t="s">
        <v>5571</v>
      </c>
      <c r="G3464" s="385">
        <v>46064</v>
      </c>
      <c r="H3464" s="367" t="s">
        <v>11</v>
      </c>
      <c r="I3464" s="368" t="str">
        <f>VLOOKUP(H3464,'Source Codes'!A$2:B$115,2,FALSE)</f>
        <v>AR Payments</v>
      </c>
      <c r="J3464" s="412">
        <v>4366664.7</v>
      </c>
      <c r="K3464" s="385">
        <v>46066</v>
      </c>
      <c r="L3464" s="369" t="s">
        <v>5582</v>
      </c>
      <c r="M3464" s="390">
        <v>46066.75240740741</v>
      </c>
      <c r="N3464" s="366" t="s">
        <v>359</v>
      </c>
      <c r="O3464" s="367" t="s">
        <v>357</v>
      </c>
      <c r="P3464" s="367" t="str">
        <f t="shared" si="126"/>
        <v>Revenue</v>
      </c>
      <c r="Q3464" s="366" t="s">
        <v>2157</v>
      </c>
      <c r="R3464" s="366" t="s">
        <v>2157</v>
      </c>
      <c r="S3464" s="366" t="s">
        <v>2531</v>
      </c>
    </row>
    <row r="3465" spans="1:19" ht="45" hidden="1" outlineLevel="1">
      <c r="B3465" s="384">
        <v>2026</v>
      </c>
      <c r="C3465" s="384">
        <v>8</v>
      </c>
      <c r="D3465" s="367" t="s">
        <v>5</v>
      </c>
      <c r="E3465" s="367" t="s">
        <v>6</v>
      </c>
      <c r="F3465" s="389" t="s">
        <v>5572</v>
      </c>
      <c r="G3465" s="385">
        <v>46064</v>
      </c>
      <c r="H3465" s="367" t="s">
        <v>9</v>
      </c>
      <c r="I3465" s="368" t="str">
        <f>VLOOKUP(H3465,'Source Codes'!A$2:B$115,2,FALSE)</f>
        <v>On Line Journal Entries</v>
      </c>
      <c r="J3465" s="412">
        <v>3434577</v>
      </c>
      <c r="K3465" s="385">
        <v>46066</v>
      </c>
      <c r="L3465" s="369" t="s">
        <v>343</v>
      </c>
      <c r="M3465" s="390">
        <v>46066.869641203702</v>
      </c>
      <c r="N3465" s="368" t="s">
        <v>361</v>
      </c>
      <c r="O3465" s="368" t="s">
        <v>364</v>
      </c>
      <c r="P3465" s="367" t="str">
        <f t="shared" si="126"/>
        <v>Revenue</v>
      </c>
      <c r="Q3465" s="366" t="s">
        <v>2232</v>
      </c>
      <c r="R3465" s="365" t="s">
        <v>2232</v>
      </c>
      <c r="S3465" s="366" t="s">
        <v>3018</v>
      </c>
    </row>
    <row r="3466" spans="1:19" ht="30" hidden="1" outlineLevel="1">
      <c r="B3466" s="384">
        <v>2026</v>
      </c>
      <c r="C3466" s="384">
        <v>8</v>
      </c>
      <c r="D3466" s="367" t="s">
        <v>5</v>
      </c>
      <c r="E3466" s="367" t="s">
        <v>6</v>
      </c>
      <c r="F3466" s="389" t="s">
        <v>5573</v>
      </c>
      <c r="G3466" s="385">
        <v>46064</v>
      </c>
      <c r="H3466" s="367" t="s">
        <v>9</v>
      </c>
      <c r="I3466" s="368" t="str">
        <f>VLOOKUP(H3466,'Source Codes'!A$2:B$115,2,FALSE)</f>
        <v>On Line Journal Entries</v>
      </c>
      <c r="J3466" s="412">
        <v>1817600</v>
      </c>
      <c r="K3466" s="385">
        <v>46066</v>
      </c>
      <c r="L3466" s="369" t="s">
        <v>5577</v>
      </c>
      <c r="M3466" s="390">
        <v>46066.869641203702</v>
      </c>
      <c r="N3466" s="368" t="s">
        <v>387</v>
      </c>
      <c r="O3466" s="368" t="s">
        <v>510</v>
      </c>
      <c r="P3466" s="367" t="str">
        <f t="shared" si="126"/>
        <v>Revenue</v>
      </c>
      <c r="Q3466" s="366" t="s">
        <v>2790</v>
      </c>
      <c r="R3466" s="366" t="s">
        <v>5583</v>
      </c>
      <c r="S3466" s="366">
        <v>741270</v>
      </c>
    </row>
    <row r="3467" spans="1:19" ht="45" hidden="1" outlineLevel="1">
      <c r="B3467" s="384">
        <v>2026</v>
      </c>
      <c r="C3467" s="384">
        <v>8</v>
      </c>
      <c r="D3467" s="367" t="s">
        <v>5</v>
      </c>
      <c r="E3467" s="367" t="s">
        <v>6</v>
      </c>
      <c r="F3467" s="389" t="s">
        <v>5574</v>
      </c>
      <c r="G3467" s="385">
        <v>46064</v>
      </c>
      <c r="H3467" s="367" t="s">
        <v>9</v>
      </c>
      <c r="I3467" s="368" t="str">
        <f>VLOOKUP(H3467,'Source Codes'!A$2:B$115,2,FALSE)</f>
        <v>On Line Journal Entries</v>
      </c>
      <c r="J3467" s="412">
        <v>1324777</v>
      </c>
      <c r="K3467" s="385">
        <v>46066</v>
      </c>
      <c r="L3467" s="369" t="s">
        <v>343</v>
      </c>
      <c r="M3467" s="390">
        <v>46066.869641203702</v>
      </c>
      <c r="N3467" s="368" t="s">
        <v>361</v>
      </c>
      <c r="O3467" s="368" t="s">
        <v>364</v>
      </c>
      <c r="P3467" s="367" t="str">
        <f t="shared" si="126"/>
        <v>Revenue</v>
      </c>
      <c r="Q3467" s="366" t="s">
        <v>2232</v>
      </c>
      <c r="R3467" s="365" t="s">
        <v>2232</v>
      </c>
      <c r="S3467" s="366" t="s">
        <v>5584</v>
      </c>
    </row>
    <row r="3468" spans="1:19" ht="60" hidden="1" outlineLevel="1">
      <c r="B3468" s="384">
        <v>2026</v>
      </c>
      <c r="C3468" s="384">
        <v>8</v>
      </c>
      <c r="D3468" s="367" t="s">
        <v>5</v>
      </c>
      <c r="E3468" s="367" t="s">
        <v>6</v>
      </c>
      <c r="F3468" s="389" t="s">
        <v>5575</v>
      </c>
      <c r="G3468" s="385">
        <v>46056</v>
      </c>
      <c r="H3468" s="367" t="s">
        <v>9</v>
      </c>
      <c r="I3468" s="368" t="str">
        <f>VLOOKUP(H3468,'Source Codes'!A$2:B$115,2,FALSE)</f>
        <v>On Line Journal Entries</v>
      </c>
      <c r="J3468" s="412">
        <v>-1017006.46</v>
      </c>
      <c r="K3468" s="385">
        <v>46066</v>
      </c>
      <c r="L3468" s="369" t="s">
        <v>5578</v>
      </c>
      <c r="M3468" s="390">
        <v>46066.612407407411</v>
      </c>
      <c r="N3468" s="366" t="s">
        <v>2185</v>
      </c>
      <c r="O3468" s="367" t="s">
        <v>2631</v>
      </c>
      <c r="P3468" s="367" t="str">
        <f t="shared" si="126"/>
        <v>Expense</v>
      </c>
      <c r="Q3468" s="366" t="s">
        <v>2632</v>
      </c>
      <c r="R3468" s="366" t="s">
        <v>5585</v>
      </c>
      <c r="S3468" s="366">
        <v>777310</v>
      </c>
    </row>
    <row r="3469" spans="1:19" ht="15" hidden="1" outlineLevel="1">
      <c r="B3469" s="384">
        <v>2026</v>
      </c>
      <c r="C3469" s="384">
        <v>8</v>
      </c>
      <c r="D3469" s="367" t="s">
        <v>5</v>
      </c>
      <c r="E3469" s="367" t="s">
        <v>6</v>
      </c>
      <c r="F3469" s="389" t="s">
        <v>5576</v>
      </c>
      <c r="G3469" s="385">
        <v>46054</v>
      </c>
      <c r="H3469" s="367" t="s">
        <v>13</v>
      </c>
      <c r="I3469" s="368" t="str">
        <f>VLOOKUP(H3469,'Source Codes'!A$2:B$115,2,FALSE)</f>
        <v>C-IV Voucher/Payments/EBT</v>
      </c>
      <c r="J3469" s="412">
        <v>-12158344.369999999</v>
      </c>
      <c r="K3469" s="385">
        <v>46066</v>
      </c>
      <c r="L3469" s="369" t="s">
        <v>5579</v>
      </c>
      <c r="M3469" s="390">
        <v>46066.642152777778</v>
      </c>
      <c r="N3469" s="368" t="s">
        <v>359</v>
      </c>
      <c r="O3469" s="368" t="s">
        <v>364</v>
      </c>
      <c r="P3469" s="367" t="str">
        <f t="shared" si="126"/>
        <v>Expense</v>
      </c>
      <c r="Q3469" s="366" t="s">
        <v>2204</v>
      </c>
      <c r="R3469" s="365">
        <v>46023</v>
      </c>
      <c r="S3469" s="366">
        <v>530480</v>
      </c>
    </row>
    <row r="3470" spans="1:19" ht="15" collapsed="1">
      <c r="J3470" s="413">
        <f>SUM(J3463:J3469)</f>
        <v>2885039.0900000017</v>
      </c>
    </row>
    <row r="3472" spans="1:19" ht="12.75" customHeight="1">
      <c r="A3472" s="378" t="s">
        <v>5586</v>
      </c>
    </row>
    <row r="3473" spans="1:19" ht="45" hidden="1" outlineLevel="1">
      <c r="B3473" s="384">
        <v>2026</v>
      </c>
      <c r="C3473" s="384">
        <v>8</v>
      </c>
      <c r="D3473" s="367" t="s">
        <v>5</v>
      </c>
      <c r="E3473" s="367" t="s">
        <v>6</v>
      </c>
      <c r="F3473" s="389" t="s">
        <v>5587</v>
      </c>
      <c r="G3473" s="385">
        <v>46070</v>
      </c>
      <c r="H3473" s="367" t="s">
        <v>14</v>
      </c>
      <c r="I3473" s="368" t="str">
        <f>VLOOKUP(H3473,'Source Codes'!A$2:B$115,2,FALSE)</f>
        <v>AP Warrant Issuance</v>
      </c>
      <c r="J3473" s="412">
        <v>-2121321.35</v>
      </c>
      <c r="K3473" s="385">
        <v>46070</v>
      </c>
      <c r="L3473" s="369" t="s">
        <v>5604</v>
      </c>
      <c r="M3473" s="390">
        <v>46070.757662037038</v>
      </c>
      <c r="N3473" s="366" t="s">
        <v>356</v>
      </c>
      <c r="O3473" s="367" t="s">
        <v>368</v>
      </c>
      <c r="P3473" s="367" t="str">
        <f t="shared" ref="P3473:P3483" si="127">IF(J3473&gt;0,"Revenue",IF(J3473&lt;0,"Expense"))</f>
        <v>Expense</v>
      </c>
      <c r="Q3473" s="366" t="s">
        <v>2154</v>
      </c>
      <c r="R3473" s="366" t="s">
        <v>2154</v>
      </c>
      <c r="S3473" s="366">
        <v>530280</v>
      </c>
    </row>
    <row r="3474" spans="1:19" ht="30" hidden="1" outlineLevel="1">
      <c r="B3474" s="384">
        <v>2026</v>
      </c>
      <c r="C3474" s="384">
        <v>8</v>
      </c>
      <c r="D3474" s="367" t="s">
        <v>5</v>
      </c>
      <c r="E3474" s="367" t="s">
        <v>6</v>
      </c>
      <c r="F3474" s="389" t="s">
        <v>5588</v>
      </c>
      <c r="G3474" s="385">
        <v>46072</v>
      </c>
      <c r="H3474" s="367" t="s">
        <v>14</v>
      </c>
      <c r="I3474" s="368" t="str">
        <f>VLOOKUP(H3474,'Source Codes'!A$2:B$115,2,FALSE)</f>
        <v>AP Warrant Issuance</v>
      </c>
      <c r="J3474" s="412">
        <v>-1684744.02</v>
      </c>
      <c r="K3474" s="385">
        <v>46070</v>
      </c>
      <c r="L3474" s="369" t="s">
        <v>5605</v>
      </c>
      <c r="M3474" s="390">
        <v>46070.757662037038</v>
      </c>
      <c r="N3474" s="366" t="s">
        <v>356</v>
      </c>
      <c r="O3474" s="367" t="s">
        <v>368</v>
      </c>
      <c r="P3474" s="367" t="str">
        <f t="shared" si="127"/>
        <v>Expense</v>
      </c>
      <c r="Q3474" s="366" t="s">
        <v>2154</v>
      </c>
      <c r="R3474" s="366" t="s">
        <v>2154</v>
      </c>
      <c r="S3474" s="366" t="s">
        <v>203</v>
      </c>
    </row>
    <row r="3475" spans="1:19" ht="30" hidden="1" outlineLevel="1">
      <c r="B3475" s="384">
        <v>2026</v>
      </c>
      <c r="C3475" s="384">
        <v>8</v>
      </c>
      <c r="D3475" s="367" t="s">
        <v>5</v>
      </c>
      <c r="E3475" s="367" t="s">
        <v>6</v>
      </c>
      <c r="F3475" s="389" t="s">
        <v>5589</v>
      </c>
      <c r="G3475" s="385">
        <v>46059</v>
      </c>
      <c r="H3475" s="367" t="s">
        <v>12</v>
      </c>
      <c r="I3475" s="368" t="str">
        <f>VLOOKUP(H3475,'Source Codes'!A$2:B$115,2,FALSE)</f>
        <v>AR Direct Cash Journal</v>
      </c>
      <c r="J3475" s="412">
        <v>1861029.55</v>
      </c>
      <c r="K3475" s="385">
        <v>46070</v>
      </c>
      <c r="L3475" s="369" t="s">
        <v>5606</v>
      </c>
      <c r="M3475" s="390">
        <v>46070.752106481479</v>
      </c>
      <c r="N3475" s="366" t="s">
        <v>356</v>
      </c>
      <c r="O3475" s="367" t="s">
        <v>368</v>
      </c>
      <c r="P3475" s="367" t="str">
        <f t="shared" si="127"/>
        <v>Revenue</v>
      </c>
      <c r="Q3475" s="366" t="s">
        <v>2177</v>
      </c>
      <c r="R3475" s="366" t="s">
        <v>3123</v>
      </c>
      <c r="S3475" s="366">
        <v>230100</v>
      </c>
    </row>
    <row r="3476" spans="1:19" ht="30" hidden="1" outlineLevel="1">
      <c r="B3476" s="384">
        <v>2026</v>
      </c>
      <c r="C3476" s="384">
        <v>8</v>
      </c>
      <c r="D3476" s="367" t="s">
        <v>5</v>
      </c>
      <c r="E3476" s="367" t="s">
        <v>6</v>
      </c>
      <c r="F3476" s="389" t="s">
        <v>5590</v>
      </c>
      <c r="G3476" s="385">
        <v>46064</v>
      </c>
      <c r="H3476" s="367" t="s">
        <v>11</v>
      </c>
      <c r="I3476" s="368" t="str">
        <f>VLOOKUP(H3476,'Source Codes'!A$2:B$115,2,FALSE)</f>
        <v>AR Payments</v>
      </c>
      <c r="J3476" s="412">
        <v>1213344.6299999999</v>
      </c>
      <c r="K3476" s="385">
        <v>46070</v>
      </c>
      <c r="L3476" s="369" t="s">
        <v>5607</v>
      </c>
      <c r="M3476" s="390">
        <v>46070.752106481479</v>
      </c>
      <c r="N3476" s="366" t="s">
        <v>359</v>
      </c>
      <c r="O3476" s="367" t="s">
        <v>357</v>
      </c>
      <c r="P3476" s="367" t="str">
        <f t="shared" si="127"/>
        <v>Revenue</v>
      </c>
      <c r="Q3476" s="366" t="s">
        <v>2157</v>
      </c>
      <c r="R3476" s="366" t="s">
        <v>2157</v>
      </c>
      <c r="S3476" s="366">
        <v>118501</v>
      </c>
    </row>
    <row r="3477" spans="1:19" ht="75" hidden="1" outlineLevel="1">
      <c r="B3477" s="384">
        <v>2026</v>
      </c>
      <c r="C3477" s="384">
        <v>8</v>
      </c>
      <c r="D3477" s="367" t="s">
        <v>5</v>
      </c>
      <c r="E3477" s="367" t="s">
        <v>6</v>
      </c>
      <c r="F3477" s="389" t="s">
        <v>5591</v>
      </c>
      <c r="G3477" s="385">
        <v>46062</v>
      </c>
      <c r="H3477" s="367" t="s">
        <v>11</v>
      </c>
      <c r="I3477" s="368" t="str">
        <f>VLOOKUP(H3477,'Source Codes'!A$2:B$115,2,FALSE)</f>
        <v>AR Payments</v>
      </c>
      <c r="J3477" s="412">
        <v>1452819.85</v>
      </c>
      <c r="K3477" s="385">
        <v>46070</v>
      </c>
      <c r="L3477" s="369" t="s">
        <v>5608</v>
      </c>
      <c r="M3477" s="390">
        <v>46070.752106481479</v>
      </c>
      <c r="N3477" s="366" t="s">
        <v>359</v>
      </c>
      <c r="O3477" s="367" t="s">
        <v>357</v>
      </c>
      <c r="P3477" s="367" t="str">
        <f t="shared" si="127"/>
        <v>Revenue</v>
      </c>
      <c r="Q3477" s="366" t="s">
        <v>2157</v>
      </c>
      <c r="R3477" s="366" t="s">
        <v>2157</v>
      </c>
      <c r="S3477" s="366" t="s">
        <v>2531</v>
      </c>
    </row>
    <row r="3478" spans="1:19" ht="30" hidden="1" outlineLevel="1">
      <c r="B3478" s="384">
        <v>2026</v>
      </c>
      <c r="C3478" s="384">
        <v>8</v>
      </c>
      <c r="D3478" s="367" t="s">
        <v>5</v>
      </c>
      <c r="E3478" s="367" t="s">
        <v>6</v>
      </c>
      <c r="F3478" s="389" t="s">
        <v>5592</v>
      </c>
      <c r="G3478" s="385">
        <v>46070</v>
      </c>
      <c r="H3478" s="367" t="s">
        <v>9</v>
      </c>
      <c r="I3478" s="368" t="str">
        <f>VLOOKUP(H3478,'Source Codes'!A$2:B$115,2,FALSE)</f>
        <v>On Line Journal Entries</v>
      </c>
      <c r="J3478" s="412">
        <v>4398835</v>
      </c>
      <c r="K3478" s="385">
        <v>46070</v>
      </c>
      <c r="L3478" s="369" t="s">
        <v>5598</v>
      </c>
      <c r="M3478" s="390">
        <v>46070.606828703705</v>
      </c>
      <c r="N3478" s="366" t="s">
        <v>359</v>
      </c>
      <c r="O3478" s="367" t="s">
        <v>369</v>
      </c>
      <c r="P3478" s="367" t="str">
        <f t="shared" si="127"/>
        <v>Revenue</v>
      </c>
      <c r="Q3478" s="366" t="s">
        <v>2268</v>
      </c>
      <c r="R3478" s="365">
        <v>46080</v>
      </c>
      <c r="S3478" s="366" t="s">
        <v>4726</v>
      </c>
    </row>
    <row r="3479" spans="1:19" ht="15" hidden="1" outlineLevel="1">
      <c r="B3479" s="384">
        <v>2026</v>
      </c>
      <c r="C3479" s="384">
        <v>8</v>
      </c>
      <c r="D3479" s="367" t="s">
        <v>5</v>
      </c>
      <c r="E3479" s="367" t="s">
        <v>6</v>
      </c>
      <c r="F3479" s="389" t="s">
        <v>5593</v>
      </c>
      <c r="G3479" s="385">
        <v>46054</v>
      </c>
      <c r="H3479" s="367" t="s">
        <v>9</v>
      </c>
      <c r="I3479" s="368" t="str">
        <f>VLOOKUP(H3479,'Source Codes'!A$2:B$115,2,FALSE)</f>
        <v>On Line Journal Entries</v>
      </c>
      <c r="J3479" s="412">
        <v>-1712372.49</v>
      </c>
      <c r="K3479" s="385">
        <v>46070</v>
      </c>
      <c r="L3479" s="369" t="s">
        <v>5599</v>
      </c>
      <c r="M3479" s="390">
        <v>46070.869884259257</v>
      </c>
      <c r="N3479" s="366" t="s">
        <v>356</v>
      </c>
      <c r="O3479" s="367" t="s">
        <v>373</v>
      </c>
      <c r="P3479" s="367" t="str">
        <f t="shared" si="127"/>
        <v>Expense</v>
      </c>
      <c r="Q3479" s="366" t="s">
        <v>2476</v>
      </c>
      <c r="R3479" s="366" t="s">
        <v>5609</v>
      </c>
      <c r="S3479" s="366">
        <v>520945</v>
      </c>
    </row>
    <row r="3480" spans="1:19" ht="30" hidden="1" outlineLevel="1">
      <c r="B3480" s="384">
        <v>2026</v>
      </c>
      <c r="C3480" s="384">
        <v>8</v>
      </c>
      <c r="D3480" s="367" t="s">
        <v>5</v>
      </c>
      <c r="E3480" s="367" t="s">
        <v>6</v>
      </c>
      <c r="F3480" s="389" t="s">
        <v>5594</v>
      </c>
      <c r="G3480" s="385">
        <v>46062</v>
      </c>
      <c r="H3480" s="367" t="s">
        <v>337</v>
      </c>
      <c r="I3480" s="368" t="str">
        <f>VLOOKUP(H3480,'Source Codes'!A$2:B$115,2,FALSE)</f>
        <v>Facilities Mngmnt Intfc Jrnls</v>
      </c>
      <c r="J3480" s="412">
        <v>-2111556.84</v>
      </c>
      <c r="K3480" s="385">
        <v>46070</v>
      </c>
      <c r="L3480" s="369" t="s">
        <v>5600</v>
      </c>
      <c r="M3480" s="390">
        <v>46070.598935185182</v>
      </c>
      <c r="N3480" s="368" t="s">
        <v>359</v>
      </c>
      <c r="O3480" s="368" t="s">
        <v>367</v>
      </c>
      <c r="P3480" s="367" t="str">
        <f t="shared" si="127"/>
        <v>Expense</v>
      </c>
      <c r="Q3480" s="366" t="s">
        <v>2240</v>
      </c>
      <c r="R3480" s="366" t="s">
        <v>5431</v>
      </c>
      <c r="S3480" s="366" t="s">
        <v>5610</v>
      </c>
    </row>
    <row r="3481" spans="1:19" ht="15" hidden="1" outlineLevel="1">
      <c r="B3481" s="384">
        <v>2026</v>
      </c>
      <c r="C3481" s="384">
        <v>8</v>
      </c>
      <c r="D3481" s="367" t="s">
        <v>5</v>
      </c>
      <c r="E3481" s="367" t="s">
        <v>6</v>
      </c>
      <c r="F3481" s="389" t="s">
        <v>5595</v>
      </c>
      <c r="G3481" s="385">
        <v>46054</v>
      </c>
      <c r="H3481" s="367" t="s">
        <v>9</v>
      </c>
      <c r="I3481" s="368" t="str">
        <f>VLOOKUP(H3481,'Source Codes'!A$2:B$115,2,FALSE)</f>
        <v>On Line Journal Entries</v>
      </c>
      <c r="J3481" s="412">
        <v>-4444115.4000000004</v>
      </c>
      <c r="K3481" s="385">
        <v>46070</v>
      </c>
      <c r="L3481" s="369" t="s">
        <v>5601</v>
      </c>
      <c r="M3481" s="390">
        <v>46070.869884259257</v>
      </c>
      <c r="N3481" s="366" t="s">
        <v>356</v>
      </c>
      <c r="O3481" s="367" t="s">
        <v>373</v>
      </c>
      <c r="P3481" s="367" t="str">
        <f t="shared" si="127"/>
        <v>Expense</v>
      </c>
      <c r="Q3481" s="366" t="s">
        <v>2517</v>
      </c>
      <c r="R3481" s="366" t="s">
        <v>5612</v>
      </c>
      <c r="S3481" s="366">
        <v>517000</v>
      </c>
    </row>
    <row r="3482" spans="1:19" ht="30" hidden="1" outlineLevel="1">
      <c r="B3482" s="384">
        <v>2026</v>
      </c>
      <c r="C3482" s="384">
        <v>8</v>
      </c>
      <c r="D3482" s="367" t="s">
        <v>5</v>
      </c>
      <c r="E3482" s="367" t="s">
        <v>6</v>
      </c>
      <c r="F3482" s="389" t="s">
        <v>5596</v>
      </c>
      <c r="G3482" s="385">
        <v>46054</v>
      </c>
      <c r="H3482" s="367" t="s">
        <v>9</v>
      </c>
      <c r="I3482" s="368" t="str">
        <f>VLOOKUP(H3482,'Source Codes'!A$2:B$115,2,FALSE)</f>
        <v>On Line Journal Entries</v>
      </c>
      <c r="J3482" s="412">
        <v>-7576523.54</v>
      </c>
      <c r="K3482" s="385">
        <v>46070</v>
      </c>
      <c r="L3482" s="369" t="s">
        <v>5602</v>
      </c>
      <c r="M3482" s="390">
        <v>46070.869884259257</v>
      </c>
      <c r="N3482" s="366" t="s">
        <v>356</v>
      </c>
      <c r="O3482" s="367" t="s">
        <v>373</v>
      </c>
      <c r="P3482" s="367" t="str">
        <f t="shared" si="127"/>
        <v>Expense</v>
      </c>
      <c r="Q3482" s="366" t="s">
        <v>2569</v>
      </c>
      <c r="R3482" s="366" t="s">
        <v>5613</v>
      </c>
      <c r="S3482" s="366">
        <v>520930</v>
      </c>
    </row>
    <row r="3483" spans="1:19" ht="15" hidden="1" outlineLevel="1">
      <c r="B3483" s="384">
        <v>2026</v>
      </c>
      <c r="C3483" s="384">
        <v>8</v>
      </c>
      <c r="D3483" s="367" t="s">
        <v>5</v>
      </c>
      <c r="E3483" s="367" t="s">
        <v>6</v>
      </c>
      <c r="F3483" s="389" t="s">
        <v>5597</v>
      </c>
      <c r="G3483" s="385">
        <v>46054</v>
      </c>
      <c r="H3483" s="367" t="s">
        <v>13</v>
      </c>
      <c r="I3483" s="368" t="str">
        <f>VLOOKUP(H3483,'Source Codes'!A$2:B$115,2,FALSE)</f>
        <v>C-IV Voucher/Payments/EBT</v>
      </c>
      <c r="J3483" s="412">
        <v>-15940498.970000001</v>
      </c>
      <c r="K3483" s="385">
        <v>46070</v>
      </c>
      <c r="L3483" s="369" t="s">
        <v>5603</v>
      </c>
      <c r="M3483" s="390">
        <v>46070.599456018521</v>
      </c>
      <c r="N3483" s="366" t="s">
        <v>356</v>
      </c>
      <c r="O3483" s="367" t="s">
        <v>364</v>
      </c>
      <c r="P3483" s="367" t="str">
        <f t="shared" si="127"/>
        <v>Expense</v>
      </c>
      <c r="Q3483" s="366" t="s">
        <v>2204</v>
      </c>
      <c r="R3483" s="393">
        <v>46023</v>
      </c>
      <c r="S3483" s="366">
        <v>530480</v>
      </c>
    </row>
    <row r="3484" spans="1:19" ht="15" collapsed="1">
      <c r="J3484" s="413">
        <f>SUM(J3473:J3483)</f>
        <v>-26665103.579999998</v>
      </c>
    </row>
    <row r="3486" spans="1:19" ht="12.75" customHeight="1">
      <c r="A3486" s="378" t="s">
        <v>5614</v>
      </c>
    </row>
    <row r="3487" spans="1:19" ht="30" hidden="1" outlineLevel="1">
      <c r="B3487" s="384">
        <v>2026</v>
      </c>
      <c r="C3487" s="384">
        <v>8</v>
      </c>
      <c r="D3487" s="367" t="s">
        <v>5</v>
      </c>
      <c r="E3487" s="367" t="s">
        <v>6</v>
      </c>
      <c r="F3487" s="389" t="s">
        <v>5615</v>
      </c>
      <c r="G3487" s="385">
        <v>46073</v>
      </c>
      <c r="H3487" s="367" t="s">
        <v>14</v>
      </c>
      <c r="I3487" s="368" t="str">
        <f>VLOOKUP(H3487,'Source Codes'!A$2:B$115,2,FALSE)</f>
        <v>AP Warrant Issuance</v>
      </c>
      <c r="J3487" s="412">
        <v>-1202204.58</v>
      </c>
      <c r="K3487" s="385">
        <v>46071</v>
      </c>
      <c r="L3487" s="369" t="s">
        <v>5618</v>
      </c>
      <c r="M3487" s="390">
        <v>46071.759293981479</v>
      </c>
      <c r="N3487" s="366" t="s">
        <v>356</v>
      </c>
      <c r="O3487" s="367" t="s">
        <v>368</v>
      </c>
      <c r="P3487" s="367" t="str">
        <f t="shared" ref="P3487:P3488" si="128">IF(J3487&gt;0,"Revenue",IF(J3487&lt;0,"Expense"))</f>
        <v>Expense</v>
      </c>
      <c r="Q3487" s="366" t="s">
        <v>2154</v>
      </c>
      <c r="R3487" s="366" t="s">
        <v>2154</v>
      </c>
      <c r="S3487" s="366" t="s">
        <v>203</v>
      </c>
    </row>
    <row r="3488" spans="1:19" ht="30" hidden="1" outlineLevel="1">
      <c r="B3488" s="384">
        <v>2026</v>
      </c>
      <c r="C3488" s="384">
        <v>8</v>
      </c>
      <c r="D3488" s="367" t="s">
        <v>5</v>
      </c>
      <c r="E3488" s="367" t="s">
        <v>6</v>
      </c>
      <c r="F3488" s="389" t="s">
        <v>5616</v>
      </c>
      <c r="G3488" s="385">
        <v>46054</v>
      </c>
      <c r="H3488" s="367" t="s">
        <v>9</v>
      </c>
      <c r="I3488" s="368" t="str">
        <f>VLOOKUP(H3488,'Source Codes'!A$2:B$115,2,FALSE)</f>
        <v>On Line Journal Entries</v>
      </c>
      <c r="J3488" s="412">
        <v>-5535427.9900000002</v>
      </c>
      <c r="K3488" s="385">
        <v>46071</v>
      </c>
      <c r="L3488" s="369" t="s">
        <v>5617</v>
      </c>
      <c r="M3488" s="390">
        <v>46071.665682870371</v>
      </c>
      <c r="N3488" s="366" t="s">
        <v>356</v>
      </c>
      <c r="O3488" s="367" t="s">
        <v>374</v>
      </c>
      <c r="P3488" s="367" t="str">
        <f t="shared" si="128"/>
        <v>Expense</v>
      </c>
      <c r="Q3488" s="366" t="s">
        <v>2202</v>
      </c>
      <c r="R3488" s="366" t="s">
        <v>5619</v>
      </c>
      <c r="S3488" s="366">
        <v>525840</v>
      </c>
    </row>
    <row r="3489" spans="1:19" ht="15" collapsed="1">
      <c r="I3489" s="368"/>
      <c r="J3489" s="413">
        <f>SUM(J3487:J3488)</f>
        <v>-6737632.5700000003</v>
      </c>
      <c r="P3489" s="367"/>
    </row>
    <row r="3491" spans="1:19" ht="12.75" customHeight="1">
      <c r="A3491" s="378" t="s">
        <v>5621</v>
      </c>
      <c r="I3491" s="368"/>
      <c r="P3491" s="367"/>
    </row>
    <row r="3492" spans="1:19" ht="30" hidden="1" outlineLevel="1">
      <c r="B3492" s="384">
        <v>2026</v>
      </c>
      <c r="C3492" s="384">
        <v>8</v>
      </c>
      <c r="D3492" s="367" t="s">
        <v>5</v>
      </c>
      <c r="E3492" s="367" t="s">
        <v>6</v>
      </c>
      <c r="F3492" s="389" t="s">
        <v>5622</v>
      </c>
      <c r="G3492" s="385">
        <v>46076</v>
      </c>
      <c r="H3492" s="367" t="s">
        <v>14</v>
      </c>
      <c r="I3492" s="368" t="str">
        <f>VLOOKUP(H3492,'Source Codes'!A$2:B$115,2,FALSE)</f>
        <v>AP Warrant Issuance</v>
      </c>
      <c r="J3492" s="412">
        <v>-1854692.29</v>
      </c>
      <c r="K3492" s="385">
        <v>46072</v>
      </c>
      <c r="L3492" s="369" t="s">
        <v>5624</v>
      </c>
      <c r="M3492" s="390">
        <v>46072.757187499999</v>
      </c>
      <c r="N3492" s="366" t="s">
        <v>356</v>
      </c>
      <c r="O3492" s="367" t="s">
        <v>368</v>
      </c>
      <c r="P3492" s="367" t="str">
        <f>IF(J3492&gt;0,"Revenue",IF(J3492&lt;0,"Expense"))</f>
        <v>Expense</v>
      </c>
      <c r="Q3492" s="366" t="s">
        <v>2154</v>
      </c>
      <c r="R3492" s="366" t="s">
        <v>2154</v>
      </c>
      <c r="S3492" s="366" t="s">
        <v>203</v>
      </c>
    </row>
    <row r="3493" spans="1:19" ht="30" hidden="1" outlineLevel="1">
      <c r="B3493" s="384">
        <v>2026</v>
      </c>
      <c r="C3493" s="384">
        <v>8</v>
      </c>
      <c r="D3493" s="367" t="s">
        <v>5</v>
      </c>
      <c r="E3493" s="367" t="s">
        <v>6</v>
      </c>
      <c r="F3493" s="389" t="s">
        <v>5623</v>
      </c>
      <c r="G3493" s="385">
        <v>46072</v>
      </c>
      <c r="H3493" s="367" t="s">
        <v>14</v>
      </c>
      <c r="I3493" s="368" t="str">
        <f>VLOOKUP(H3493,'Source Codes'!A$2:B$115,2,FALSE)</f>
        <v>AP Warrant Issuance</v>
      </c>
      <c r="J3493" s="412">
        <v>-1091170</v>
      </c>
      <c r="K3493" s="385">
        <v>46072</v>
      </c>
      <c r="L3493" s="369" t="s">
        <v>5625</v>
      </c>
      <c r="M3493" s="390">
        <v>46072.757187499999</v>
      </c>
      <c r="N3493" s="366" t="s">
        <v>356</v>
      </c>
      <c r="O3493" s="367" t="s">
        <v>368</v>
      </c>
      <c r="P3493" s="367" t="str">
        <f>IF(J3493&gt;0,"Revenue",IF(J3493&lt;0,"Expense"))</f>
        <v>Expense</v>
      </c>
      <c r="Q3493" s="366" t="s">
        <v>2154</v>
      </c>
      <c r="R3493" s="366" t="s">
        <v>2154</v>
      </c>
      <c r="S3493" s="366" t="s">
        <v>203</v>
      </c>
    </row>
    <row r="3494" spans="1:19" ht="30" hidden="1" outlineLevel="1">
      <c r="B3494" s="384">
        <v>2026</v>
      </c>
      <c r="C3494" s="384">
        <v>8</v>
      </c>
      <c r="D3494" s="367" t="s">
        <v>5</v>
      </c>
      <c r="E3494" s="367" t="s">
        <v>6</v>
      </c>
      <c r="F3494" s="389" t="s">
        <v>5626</v>
      </c>
      <c r="G3494" s="385">
        <v>46071</v>
      </c>
      <c r="H3494" s="367" t="s">
        <v>9</v>
      </c>
      <c r="I3494" s="368" t="str">
        <f>VLOOKUP(H3494,'Source Codes'!A$2:B$115,2,FALSE)</f>
        <v>On Line Journal Entries</v>
      </c>
      <c r="J3494" s="412">
        <v>2529802.31</v>
      </c>
      <c r="K3494" s="385">
        <v>46072</v>
      </c>
      <c r="L3494" s="369" t="s">
        <v>5627</v>
      </c>
      <c r="M3494" s="390">
        <v>46072.869687500002</v>
      </c>
      <c r="N3494" s="366" t="s">
        <v>361</v>
      </c>
      <c r="O3494" s="367" t="s">
        <v>510</v>
      </c>
      <c r="P3494" s="367" t="str">
        <f>IF(J3494&gt;0,"Revenue",IF(J3494&lt;0,"Expense"))</f>
        <v>Revenue</v>
      </c>
      <c r="Q3494" s="366" t="s">
        <v>2122</v>
      </c>
      <c r="R3494" s="366" t="s">
        <v>5628</v>
      </c>
      <c r="S3494" s="366">
        <v>781100</v>
      </c>
    </row>
    <row r="3495" spans="1:19" ht="12.75" customHeight="1" collapsed="1">
      <c r="J3495" s="413">
        <f>SUM(J3492:J3494)</f>
        <v>-416059.98</v>
      </c>
    </row>
    <row r="3497" spans="1:19" ht="12.75" customHeight="1">
      <c r="A3497" s="378" t="s">
        <v>5629</v>
      </c>
    </row>
    <row r="3498" spans="1:19" ht="45" hidden="1" outlineLevel="1">
      <c r="B3498" s="384">
        <v>2026</v>
      </c>
      <c r="C3498" s="384">
        <v>8</v>
      </c>
      <c r="D3498" s="367" t="s">
        <v>5</v>
      </c>
      <c r="E3498" s="367" t="s">
        <v>6</v>
      </c>
      <c r="F3498" s="389" t="s">
        <v>5630</v>
      </c>
      <c r="G3498" s="385">
        <v>46072</v>
      </c>
      <c r="H3498" s="367" t="s">
        <v>11</v>
      </c>
      <c r="I3498" s="368" t="str">
        <f>VLOOKUP(H3498,'Source Codes'!A$2:B$115,2,FALSE)</f>
        <v>AR Payments</v>
      </c>
      <c r="J3498" s="412">
        <v>1069582.1499999999</v>
      </c>
      <c r="K3498" s="385">
        <v>46073</v>
      </c>
      <c r="L3498" s="369" t="s">
        <v>5633</v>
      </c>
      <c r="M3498" s="390">
        <v>46073.752326388887</v>
      </c>
      <c r="N3498" s="366" t="s">
        <v>359</v>
      </c>
      <c r="O3498" s="367" t="s">
        <v>357</v>
      </c>
      <c r="P3498" s="367" t="str">
        <f>IF(J3498&gt;0,"Revenue",IF(J3498&lt;0,"Expense"))</f>
        <v>Revenue</v>
      </c>
      <c r="Q3498" s="366" t="s">
        <v>2157</v>
      </c>
      <c r="R3498" s="366" t="s">
        <v>2157</v>
      </c>
      <c r="S3498" s="366" t="s">
        <v>2803</v>
      </c>
    </row>
    <row r="3499" spans="1:19" ht="30" hidden="1" outlineLevel="1">
      <c r="B3499" s="384">
        <v>2026</v>
      </c>
      <c r="C3499" s="384">
        <v>8</v>
      </c>
      <c r="D3499" s="367" t="s">
        <v>5</v>
      </c>
      <c r="E3499" s="367" t="s">
        <v>6</v>
      </c>
      <c r="F3499" s="389" t="s">
        <v>5631</v>
      </c>
      <c r="G3499" s="385">
        <v>46072</v>
      </c>
      <c r="H3499" s="367" t="s">
        <v>159</v>
      </c>
      <c r="I3499" s="368" t="s">
        <v>160</v>
      </c>
      <c r="J3499" s="412">
        <v>2118588.25</v>
      </c>
      <c r="K3499" s="385">
        <v>46073</v>
      </c>
      <c r="L3499" s="369" t="s">
        <v>5632</v>
      </c>
      <c r="M3499" s="390">
        <v>46073.383877314816</v>
      </c>
      <c r="N3499" s="368" t="s">
        <v>2185</v>
      </c>
      <c r="O3499" s="368" t="s">
        <v>371</v>
      </c>
      <c r="P3499" s="367" t="str">
        <f>IF(J3499&gt;0,"Revenue",IF(J3499&lt;0,"Expense"))</f>
        <v>Revenue</v>
      </c>
      <c r="Q3499" s="366" t="s">
        <v>2434</v>
      </c>
      <c r="R3499" s="365" t="s">
        <v>5634</v>
      </c>
      <c r="S3499" s="366">
        <v>781140</v>
      </c>
    </row>
    <row r="3500" spans="1:19" ht="12.75" customHeight="1" collapsed="1">
      <c r="J3500" s="413">
        <f>SUM(J3498:J3499)</f>
        <v>3188170.4</v>
      </c>
    </row>
    <row r="3502" spans="1:19" ht="12.75" customHeight="1">
      <c r="A3502" s="378" t="s">
        <v>5635</v>
      </c>
    </row>
    <row r="3503" spans="1:19" ht="30" hidden="1" outlineLevel="1">
      <c r="B3503" s="384">
        <v>2026</v>
      </c>
      <c r="C3503" s="384">
        <v>8</v>
      </c>
      <c r="D3503" s="367" t="s">
        <v>5</v>
      </c>
      <c r="E3503" s="367" t="s">
        <v>6</v>
      </c>
      <c r="F3503" s="389" t="s">
        <v>5636</v>
      </c>
      <c r="G3503" s="385">
        <v>46072</v>
      </c>
      <c r="H3503" s="367" t="s">
        <v>12</v>
      </c>
      <c r="I3503" s="368" t="str">
        <f>VLOOKUP(H3503,'Source Codes'!A$2:B$115,2,FALSE)</f>
        <v>AR Direct Cash Journal</v>
      </c>
      <c r="J3503" s="412">
        <v>1741715.3</v>
      </c>
      <c r="K3503" s="385">
        <v>46076</v>
      </c>
      <c r="L3503" s="369" t="s">
        <v>5646</v>
      </c>
      <c r="M3503" s="390">
        <v>46076.751909722225</v>
      </c>
      <c r="N3503" s="366" t="s">
        <v>377</v>
      </c>
      <c r="O3503" s="367" t="s">
        <v>358</v>
      </c>
      <c r="P3503" s="367" t="str">
        <f>IF(J3503&gt;0,"Revenue",IF(J3503&lt;0,"Expense"))</f>
        <v>Revenue</v>
      </c>
      <c r="Q3503" s="366" t="s">
        <v>2512</v>
      </c>
      <c r="R3503" s="366" t="s">
        <v>5645</v>
      </c>
      <c r="S3503" s="366">
        <v>101500</v>
      </c>
    </row>
    <row r="3504" spans="1:19" ht="30" hidden="1" outlineLevel="1">
      <c r="B3504" s="384">
        <v>2026</v>
      </c>
      <c r="C3504" s="384">
        <v>8</v>
      </c>
      <c r="D3504" s="367" t="s">
        <v>5</v>
      </c>
      <c r="E3504" s="367" t="s">
        <v>6</v>
      </c>
      <c r="F3504" s="389" t="s">
        <v>5637</v>
      </c>
      <c r="G3504" s="385">
        <v>46073</v>
      </c>
      <c r="H3504" s="367" t="s">
        <v>9</v>
      </c>
      <c r="I3504" s="368" t="str">
        <f>VLOOKUP(H3504,'Source Codes'!A$2:B$115,2,FALSE)</f>
        <v>On Line Journal Entries</v>
      </c>
      <c r="J3504" s="412">
        <v>6808888</v>
      </c>
      <c r="K3504" s="385">
        <v>46076</v>
      </c>
      <c r="L3504" s="369" t="s">
        <v>344</v>
      </c>
      <c r="M3504" s="390">
        <v>46076.870324074072</v>
      </c>
      <c r="N3504" s="366" t="s">
        <v>356</v>
      </c>
      <c r="O3504" s="367" t="s">
        <v>364</v>
      </c>
      <c r="P3504" s="367" t="str">
        <f t="shared" ref="P3504:P3511" si="129">IF(J3504&gt;0,"Revenue",IF(J3504&lt;0,"Expense"))</f>
        <v>Revenue</v>
      </c>
      <c r="Q3504" s="366" t="s">
        <v>2232</v>
      </c>
      <c r="R3504" s="366" t="s">
        <v>2232</v>
      </c>
      <c r="S3504" s="366" t="s">
        <v>3587</v>
      </c>
    </row>
    <row r="3505" spans="1:20" ht="45" hidden="1" outlineLevel="1">
      <c r="B3505" s="384">
        <v>2026</v>
      </c>
      <c r="C3505" s="384">
        <v>8</v>
      </c>
      <c r="D3505" s="367" t="s">
        <v>5</v>
      </c>
      <c r="E3505" s="367" t="s">
        <v>6</v>
      </c>
      <c r="F3505" s="389" t="s">
        <v>5638</v>
      </c>
      <c r="G3505" s="385">
        <v>46064</v>
      </c>
      <c r="H3505" s="367" t="s">
        <v>9</v>
      </c>
      <c r="I3505" s="368" t="str">
        <f>VLOOKUP(H3505,'Source Codes'!A$2:B$115,2,FALSE)</f>
        <v>On Line Journal Entries</v>
      </c>
      <c r="J3505" s="412">
        <v>6091579</v>
      </c>
      <c r="K3505" s="385">
        <v>46076</v>
      </c>
      <c r="L3505" s="369" t="s">
        <v>352</v>
      </c>
      <c r="M3505" s="390">
        <v>46076.870324074072</v>
      </c>
      <c r="N3505" s="366" t="s">
        <v>356</v>
      </c>
      <c r="O3505" s="367" t="s">
        <v>364</v>
      </c>
      <c r="P3505" s="367" t="str">
        <f t="shared" si="129"/>
        <v>Revenue</v>
      </c>
      <c r="Q3505" s="366" t="s">
        <v>2232</v>
      </c>
      <c r="R3505" s="366" t="s">
        <v>2232</v>
      </c>
      <c r="S3505" s="366" t="s">
        <v>5647</v>
      </c>
    </row>
    <row r="3506" spans="1:20" ht="30" hidden="1" outlineLevel="1">
      <c r="B3506" s="384">
        <v>2026</v>
      </c>
      <c r="C3506" s="384">
        <v>8</v>
      </c>
      <c r="D3506" s="367" t="s">
        <v>5</v>
      </c>
      <c r="E3506" s="367" t="s">
        <v>6</v>
      </c>
      <c r="F3506" s="389" t="s">
        <v>5639</v>
      </c>
      <c r="G3506" s="385">
        <v>46064</v>
      </c>
      <c r="H3506" s="367" t="s">
        <v>9</v>
      </c>
      <c r="I3506" s="368" t="str">
        <f>VLOOKUP(H3506,'Source Codes'!A$2:B$115,2,FALSE)</f>
        <v>On Line Journal Entries</v>
      </c>
      <c r="J3506" s="412">
        <v>5137668</v>
      </c>
      <c r="K3506" s="385">
        <v>46076</v>
      </c>
      <c r="L3506" s="369" t="s">
        <v>334</v>
      </c>
      <c r="M3506" s="390">
        <v>46076.870324074072</v>
      </c>
      <c r="N3506" s="366" t="s">
        <v>356</v>
      </c>
      <c r="O3506" s="367" t="s">
        <v>364</v>
      </c>
      <c r="P3506" s="367" t="str">
        <f t="shared" si="129"/>
        <v>Revenue</v>
      </c>
      <c r="Q3506" s="366" t="s">
        <v>2232</v>
      </c>
      <c r="R3506" s="366" t="s">
        <v>2232</v>
      </c>
      <c r="S3506" s="366">
        <v>750741</v>
      </c>
    </row>
    <row r="3507" spans="1:20" ht="30" hidden="1" outlineLevel="1">
      <c r="B3507" s="384">
        <v>2026</v>
      </c>
      <c r="C3507" s="384">
        <v>8</v>
      </c>
      <c r="D3507" s="367" t="s">
        <v>5</v>
      </c>
      <c r="E3507" s="367" t="s">
        <v>6</v>
      </c>
      <c r="F3507" s="389" t="s">
        <v>5640</v>
      </c>
      <c r="G3507" s="385">
        <v>46073</v>
      </c>
      <c r="H3507" s="367" t="s">
        <v>9</v>
      </c>
      <c r="I3507" s="368" t="str">
        <f>VLOOKUP(H3507,'Source Codes'!A$2:B$115,2,FALSE)</f>
        <v>On Line Journal Entries</v>
      </c>
      <c r="J3507" s="412">
        <v>2365300</v>
      </c>
      <c r="K3507" s="385">
        <v>46076</v>
      </c>
      <c r="L3507" s="369" t="s">
        <v>344</v>
      </c>
      <c r="M3507" s="390">
        <v>46076.870324074072</v>
      </c>
      <c r="N3507" s="366" t="s">
        <v>356</v>
      </c>
      <c r="O3507" s="367" t="s">
        <v>364</v>
      </c>
      <c r="P3507" s="367" t="str">
        <f t="shared" si="129"/>
        <v>Revenue</v>
      </c>
      <c r="Q3507" s="366" t="s">
        <v>2232</v>
      </c>
      <c r="R3507" s="366" t="s">
        <v>2232</v>
      </c>
      <c r="S3507" s="366">
        <v>230141</v>
      </c>
    </row>
    <row r="3508" spans="1:20" ht="45" hidden="1" outlineLevel="1">
      <c r="B3508" s="384">
        <v>2026</v>
      </c>
      <c r="C3508" s="384">
        <v>8</v>
      </c>
      <c r="D3508" s="367" t="s">
        <v>5</v>
      </c>
      <c r="E3508" s="367" t="s">
        <v>6</v>
      </c>
      <c r="F3508" s="389" t="s">
        <v>5641</v>
      </c>
      <c r="G3508" s="385">
        <v>46064</v>
      </c>
      <c r="H3508" s="367" t="s">
        <v>9</v>
      </c>
      <c r="I3508" s="368" t="str">
        <f>VLOOKUP(H3508,'Source Codes'!A$2:B$115,2,FALSE)</f>
        <v>On Line Journal Entries</v>
      </c>
      <c r="J3508" s="412">
        <v>-2314941</v>
      </c>
      <c r="K3508" s="385">
        <v>46076</v>
      </c>
      <c r="L3508" s="369" t="s">
        <v>396</v>
      </c>
      <c r="M3508" s="390">
        <v>46076.870324074072</v>
      </c>
      <c r="N3508" s="368" t="s">
        <v>359</v>
      </c>
      <c r="O3508" s="367" t="s">
        <v>364</v>
      </c>
      <c r="P3508" s="367" t="str">
        <f t="shared" si="129"/>
        <v>Expense</v>
      </c>
      <c r="Q3508" s="366" t="s">
        <v>2232</v>
      </c>
      <c r="R3508" s="365" t="s">
        <v>2232</v>
      </c>
      <c r="S3508" s="366" t="s">
        <v>5500</v>
      </c>
    </row>
    <row r="3509" spans="1:20" ht="15" hidden="1" outlineLevel="1">
      <c r="B3509" s="384">
        <v>2026</v>
      </c>
      <c r="C3509" s="384">
        <v>8</v>
      </c>
      <c r="D3509" s="367" t="s">
        <v>5</v>
      </c>
      <c r="E3509" s="367" t="s">
        <v>6</v>
      </c>
      <c r="F3509" s="389" t="s">
        <v>5642</v>
      </c>
      <c r="G3509" s="385">
        <v>46071</v>
      </c>
      <c r="H3509" s="367" t="s">
        <v>7</v>
      </c>
      <c r="I3509" s="368" t="str">
        <f>VLOOKUP(H3509,'Source Codes'!A$2:B$115,2,FALSE)</f>
        <v>HRMS Interface Journals</v>
      </c>
      <c r="J3509" s="412">
        <v>-2658635.3199999998</v>
      </c>
      <c r="K3509" s="385">
        <v>46076</v>
      </c>
      <c r="L3509" s="369" t="s">
        <v>409</v>
      </c>
      <c r="M3509" s="390">
        <v>46076.372974537036</v>
      </c>
      <c r="N3509" s="366" t="s">
        <v>378</v>
      </c>
      <c r="O3509" s="367" t="s">
        <v>379</v>
      </c>
      <c r="P3509" s="367" t="str">
        <f t="shared" si="129"/>
        <v>Expense</v>
      </c>
      <c r="Q3509" s="366" t="s">
        <v>379</v>
      </c>
      <c r="R3509" s="366" t="s">
        <v>5648</v>
      </c>
      <c r="S3509" s="366">
        <v>513120</v>
      </c>
      <c r="T3509" s="366"/>
    </row>
    <row r="3510" spans="1:20" ht="45" hidden="1" outlineLevel="1">
      <c r="B3510" s="384">
        <v>2026</v>
      </c>
      <c r="C3510" s="384">
        <v>8</v>
      </c>
      <c r="D3510" s="367" t="s">
        <v>5</v>
      </c>
      <c r="E3510" s="367" t="s">
        <v>6</v>
      </c>
      <c r="F3510" s="389" t="s">
        <v>5643</v>
      </c>
      <c r="G3510" s="385">
        <v>46064</v>
      </c>
      <c r="H3510" s="367" t="s">
        <v>9</v>
      </c>
      <c r="I3510" s="368" t="str">
        <f>VLOOKUP(H3510,'Source Codes'!A$2:B$115,2,FALSE)</f>
        <v>On Line Journal Entries</v>
      </c>
      <c r="J3510" s="412">
        <v>-2920035</v>
      </c>
      <c r="K3510" s="385">
        <v>46076</v>
      </c>
      <c r="L3510" s="369" t="s">
        <v>396</v>
      </c>
      <c r="M3510" s="390">
        <v>46076.870324074072</v>
      </c>
      <c r="N3510" s="368" t="s">
        <v>359</v>
      </c>
      <c r="O3510" s="367" t="s">
        <v>364</v>
      </c>
      <c r="P3510" s="367" t="str">
        <f t="shared" si="129"/>
        <v>Expense</v>
      </c>
      <c r="Q3510" s="366" t="s">
        <v>2232</v>
      </c>
      <c r="R3510" s="365" t="s">
        <v>2232</v>
      </c>
      <c r="S3510" s="366">
        <v>755921</v>
      </c>
    </row>
    <row r="3511" spans="1:20" ht="15" hidden="1" outlineLevel="1">
      <c r="B3511" s="384">
        <v>2026</v>
      </c>
      <c r="C3511" s="384">
        <v>8</v>
      </c>
      <c r="D3511" s="367" t="s">
        <v>5</v>
      </c>
      <c r="E3511" s="367" t="s">
        <v>6</v>
      </c>
      <c r="F3511" s="389" t="s">
        <v>5644</v>
      </c>
      <c r="G3511" s="385">
        <v>46071</v>
      </c>
      <c r="H3511" s="367" t="s">
        <v>7</v>
      </c>
      <c r="I3511" s="368" t="str">
        <f>VLOOKUP(H3511,'Source Codes'!A$2:B$115,2,FALSE)</f>
        <v>HRMS Interface Journals</v>
      </c>
      <c r="J3511" s="412">
        <v>-11127500.1</v>
      </c>
      <c r="K3511" s="385">
        <v>46076</v>
      </c>
      <c r="L3511" s="369" t="s">
        <v>407</v>
      </c>
      <c r="M3511" s="390">
        <v>46076.37222222222</v>
      </c>
      <c r="N3511" s="366" t="s">
        <v>378</v>
      </c>
      <c r="O3511" s="367" t="s">
        <v>379</v>
      </c>
      <c r="P3511" s="367" t="str">
        <f t="shared" si="129"/>
        <v>Expense</v>
      </c>
      <c r="Q3511" s="366" t="s">
        <v>379</v>
      </c>
      <c r="R3511" s="366" t="s">
        <v>5648</v>
      </c>
      <c r="S3511" s="366" t="s">
        <v>203</v>
      </c>
    </row>
    <row r="3512" spans="1:20" ht="15" collapsed="1">
      <c r="J3512" s="413">
        <f>SUM(J3503:J3511)</f>
        <v>3124038.8800000008</v>
      </c>
    </row>
    <row r="3514" spans="1:20" ht="12.75" customHeight="1">
      <c r="A3514" s="378" t="s">
        <v>5649</v>
      </c>
    </row>
    <row r="3515" spans="1:20" ht="30" hidden="1" outlineLevel="1">
      <c r="B3515" s="384">
        <v>2026</v>
      </c>
      <c r="C3515" s="384">
        <v>8</v>
      </c>
      <c r="D3515" s="367" t="s">
        <v>5</v>
      </c>
      <c r="E3515" s="367" t="s">
        <v>6</v>
      </c>
      <c r="F3515" s="389" t="s">
        <v>5650</v>
      </c>
      <c r="G3515" s="385">
        <v>46079</v>
      </c>
      <c r="H3515" s="367" t="s">
        <v>14</v>
      </c>
      <c r="I3515" s="368" t="str">
        <f>VLOOKUP(H3515,'Source Codes'!A$2:B$115,2,FALSE)</f>
        <v>AP Warrant Issuance</v>
      </c>
      <c r="J3515" s="412">
        <v>-1750742.89</v>
      </c>
      <c r="K3515" s="385">
        <v>46077</v>
      </c>
      <c r="L3515" s="369" t="s">
        <v>5662</v>
      </c>
      <c r="M3515" s="390">
        <v>46077.758773148147</v>
      </c>
      <c r="N3515" s="366" t="s">
        <v>356</v>
      </c>
      <c r="O3515" s="367" t="s">
        <v>368</v>
      </c>
      <c r="P3515" s="367" t="str">
        <f t="shared" ref="P3515:P3520" si="130">IF(J3515&gt;0,"Revenue",IF(J3515&lt;0,"Expense"))</f>
        <v>Expense</v>
      </c>
      <c r="Q3515" s="366" t="s">
        <v>2154</v>
      </c>
      <c r="R3515" s="366" t="s">
        <v>2154</v>
      </c>
      <c r="S3515" s="366" t="s">
        <v>203</v>
      </c>
    </row>
    <row r="3516" spans="1:20" ht="30" hidden="1" outlineLevel="1">
      <c r="B3516" s="384">
        <v>2026</v>
      </c>
      <c r="C3516" s="384">
        <v>8</v>
      </c>
      <c r="D3516" s="367" t="s">
        <v>5</v>
      </c>
      <c r="E3516" s="367" t="s">
        <v>6</v>
      </c>
      <c r="F3516" s="389" t="s">
        <v>5651</v>
      </c>
      <c r="G3516" s="385">
        <v>46077</v>
      </c>
      <c r="H3516" s="367" t="s">
        <v>14</v>
      </c>
      <c r="I3516" s="368" t="str">
        <f>VLOOKUP(H3516,'Source Codes'!A$2:B$115,2,FALSE)</f>
        <v>AP Warrant Issuance</v>
      </c>
      <c r="J3516" s="412">
        <v>-1396110.7</v>
      </c>
      <c r="K3516" s="385">
        <v>46077</v>
      </c>
      <c r="L3516" s="369" t="s">
        <v>5663</v>
      </c>
      <c r="M3516" s="390">
        <v>46077.758773148147</v>
      </c>
      <c r="N3516" s="366" t="s">
        <v>356</v>
      </c>
      <c r="O3516" s="367" t="s">
        <v>368</v>
      </c>
      <c r="P3516" s="367" t="str">
        <f t="shared" si="130"/>
        <v>Expense</v>
      </c>
      <c r="Q3516" s="366" t="s">
        <v>2154</v>
      </c>
      <c r="R3516" s="366" t="s">
        <v>2154</v>
      </c>
      <c r="S3516" s="366" t="s">
        <v>203</v>
      </c>
    </row>
    <row r="3517" spans="1:20" ht="45" hidden="1" outlineLevel="1">
      <c r="B3517" s="384">
        <v>2026</v>
      </c>
      <c r="C3517" s="384">
        <v>8</v>
      </c>
      <c r="D3517" s="367" t="s">
        <v>5</v>
      </c>
      <c r="E3517" s="367" t="s">
        <v>6</v>
      </c>
      <c r="F3517" s="389" t="s">
        <v>5652</v>
      </c>
      <c r="G3517" s="385">
        <v>46077</v>
      </c>
      <c r="H3517" s="367" t="s">
        <v>12</v>
      </c>
      <c r="I3517" s="368" t="str">
        <f>VLOOKUP(H3517,'Source Codes'!A$2:B$115,2,FALSE)</f>
        <v>AR Direct Cash Journal</v>
      </c>
      <c r="J3517" s="412">
        <v>6141567.9900000002</v>
      </c>
      <c r="K3517" s="385">
        <v>46077</v>
      </c>
      <c r="L3517" s="369" t="s">
        <v>5659</v>
      </c>
      <c r="M3517" s="390">
        <v>46077.75204861111</v>
      </c>
      <c r="N3517" s="368" t="s">
        <v>359</v>
      </c>
      <c r="O3517" s="367" t="s">
        <v>371</v>
      </c>
      <c r="P3517" s="367" t="str">
        <f t="shared" si="130"/>
        <v>Revenue</v>
      </c>
      <c r="Q3517" s="366" t="s">
        <v>2316</v>
      </c>
      <c r="R3517" s="366" t="s">
        <v>5658</v>
      </c>
      <c r="S3517" s="366">
        <v>710020</v>
      </c>
    </row>
    <row r="3518" spans="1:20" ht="60" hidden="1" outlineLevel="1">
      <c r="B3518" s="384">
        <v>2026</v>
      </c>
      <c r="C3518" s="384">
        <v>8</v>
      </c>
      <c r="D3518" s="367" t="s">
        <v>5</v>
      </c>
      <c r="E3518" s="367" t="s">
        <v>6</v>
      </c>
      <c r="F3518" s="389" t="s">
        <v>5653</v>
      </c>
      <c r="G3518" s="385">
        <v>46076</v>
      </c>
      <c r="H3518" s="367" t="s">
        <v>11</v>
      </c>
      <c r="I3518" s="368" t="str">
        <f>VLOOKUP(H3518,'Source Codes'!A$2:B$115,2,FALSE)</f>
        <v>AR Payments</v>
      </c>
      <c r="J3518" s="412">
        <v>2626023.9300000002</v>
      </c>
      <c r="K3518" s="385">
        <v>46077</v>
      </c>
      <c r="L3518" s="369" t="s">
        <v>5660</v>
      </c>
      <c r="M3518" s="390">
        <v>46077.75204861111</v>
      </c>
      <c r="N3518" s="366" t="s">
        <v>359</v>
      </c>
      <c r="O3518" s="367" t="s">
        <v>357</v>
      </c>
      <c r="P3518" s="367" t="str">
        <f t="shared" si="130"/>
        <v>Revenue</v>
      </c>
      <c r="Q3518" s="366" t="s">
        <v>2157</v>
      </c>
      <c r="R3518" s="366" t="s">
        <v>2157</v>
      </c>
      <c r="S3518" s="366" t="s">
        <v>2531</v>
      </c>
    </row>
    <row r="3519" spans="1:20" ht="12.75" hidden="1" customHeight="1" outlineLevel="1">
      <c r="B3519" s="384">
        <v>2026</v>
      </c>
      <c r="C3519" s="384">
        <v>8</v>
      </c>
      <c r="D3519" s="367" t="s">
        <v>5</v>
      </c>
      <c r="E3519" s="367" t="s">
        <v>6</v>
      </c>
      <c r="F3519" s="389" t="s">
        <v>5654</v>
      </c>
      <c r="G3519" s="385">
        <v>46066</v>
      </c>
      <c r="H3519" s="367" t="s">
        <v>8</v>
      </c>
      <c r="I3519" s="368" t="str">
        <f>VLOOKUP(H3519,'Source Codes'!A$2:B$115,2,FALSE)</f>
        <v>Prch,Cntrl Mail,Flt,Prntg,Sply</v>
      </c>
      <c r="J3519" s="412">
        <v>-1802177.29</v>
      </c>
      <c r="K3519" s="385">
        <v>46077</v>
      </c>
      <c r="L3519" s="369" t="s">
        <v>5656</v>
      </c>
      <c r="M3519" s="390">
        <v>46077.261574074073</v>
      </c>
      <c r="N3519" s="366" t="s">
        <v>356</v>
      </c>
      <c r="O3519" s="367" t="s">
        <v>382</v>
      </c>
      <c r="P3519" s="367" t="str">
        <f t="shared" si="130"/>
        <v>Expense</v>
      </c>
      <c r="Q3519" s="366" t="s">
        <v>2328</v>
      </c>
      <c r="R3519" s="366" t="s">
        <v>5664</v>
      </c>
      <c r="S3519" s="366" t="s">
        <v>2535</v>
      </c>
    </row>
    <row r="3520" spans="1:20" ht="30" hidden="1" outlineLevel="1">
      <c r="B3520" s="384">
        <v>2026</v>
      </c>
      <c r="C3520" s="384">
        <v>8</v>
      </c>
      <c r="D3520" s="367" t="s">
        <v>5</v>
      </c>
      <c r="E3520" s="367" t="s">
        <v>6</v>
      </c>
      <c r="F3520" s="389" t="s">
        <v>5655</v>
      </c>
      <c r="G3520" s="385">
        <v>46076</v>
      </c>
      <c r="H3520" s="367" t="s">
        <v>337</v>
      </c>
      <c r="I3520" s="368" t="str">
        <f>VLOOKUP(H3520,'Source Codes'!A$2:B$115,2,FALSE)</f>
        <v>Facilities Mngmnt Intfc Jrnls</v>
      </c>
      <c r="J3520" s="412">
        <v>-4487569.88</v>
      </c>
      <c r="K3520" s="385">
        <v>46077</v>
      </c>
      <c r="L3520" s="369" t="s">
        <v>5657</v>
      </c>
      <c r="M3520" s="390">
        <v>46077.544930555552</v>
      </c>
      <c r="N3520" s="366" t="s">
        <v>359</v>
      </c>
      <c r="O3520" s="367" t="s">
        <v>367</v>
      </c>
      <c r="P3520" s="367" t="str">
        <f t="shared" si="130"/>
        <v>Expense</v>
      </c>
      <c r="Q3520" s="366" t="s">
        <v>2237</v>
      </c>
      <c r="R3520" s="366" t="s">
        <v>5665</v>
      </c>
      <c r="S3520" s="366" t="s">
        <v>5661</v>
      </c>
    </row>
    <row r="3521" spans="1:19" ht="12.75" customHeight="1" collapsed="1">
      <c r="J3521" s="428">
        <f>SUM(J3515:J3520)</f>
        <v>-669008.83999999985</v>
      </c>
    </row>
    <row r="3523" spans="1:19" ht="12.75" customHeight="1">
      <c r="A3523" s="378" t="s">
        <v>5666</v>
      </c>
    </row>
    <row r="3524" spans="1:19" ht="30" hidden="1" outlineLevel="1">
      <c r="B3524" s="384">
        <v>2026</v>
      </c>
      <c r="C3524" s="384">
        <v>8</v>
      </c>
      <c r="D3524" s="367" t="s">
        <v>5</v>
      </c>
      <c r="E3524" s="367" t="s">
        <v>6</v>
      </c>
      <c r="F3524" s="389" t="s">
        <v>5667</v>
      </c>
      <c r="G3524" s="385">
        <v>46080</v>
      </c>
      <c r="H3524" s="367" t="s">
        <v>14</v>
      </c>
      <c r="I3524" s="368" t="str">
        <f>VLOOKUP(H3524,'Source Codes'!A$2:B$115,2,FALSE)</f>
        <v>AP Warrant Issuance</v>
      </c>
      <c r="J3524" s="412">
        <v>-2126768.96</v>
      </c>
      <c r="K3524" s="385">
        <v>46078</v>
      </c>
      <c r="L3524" s="369" t="s">
        <v>5672</v>
      </c>
      <c r="M3524" s="390">
        <v>46078.75917824074</v>
      </c>
      <c r="N3524" s="366" t="s">
        <v>356</v>
      </c>
      <c r="O3524" s="367" t="s">
        <v>368</v>
      </c>
      <c r="P3524" s="367" t="str">
        <f t="shared" ref="P3524:P3527" si="131">IF(J3524&gt;0,"Revenue",IF(J3524&lt;0,"Expense"))</f>
        <v>Expense</v>
      </c>
      <c r="Q3524" s="366" t="s">
        <v>2154</v>
      </c>
      <c r="R3524" s="366" t="s">
        <v>2154</v>
      </c>
      <c r="S3524" s="366" t="s">
        <v>203</v>
      </c>
    </row>
    <row r="3525" spans="1:19" ht="30" hidden="1" outlineLevel="1">
      <c r="B3525" s="384">
        <v>2026</v>
      </c>
      <c r="C3525" s="384">
        <v>8</v>
      </c>
      <c r="D3525" s="367" t="s">
        <v>5</v>
      </c>
      <c r="E3525" s="367" t="s">
        <v>6</v>
      </c>
      <c r="F3525" s="389" t="s">
        <v>5668</v>
      </c>
      <c r="G3525" s="385">
        <v>46078</v>
      </c>
      <c r="H3525" s="367" t="s">
        <v>14</v>
      </c>
      <c r="I3525" s="368" t="str">
        <f>VLOOKUP(H3525,'Source Codes'!A$2:B$115,2,FALSE)</f>
        <v>AP Warrant Issuance</v>
      </c>
      <c r="J3525" s="412">
        <v>-1059095.82</v>
      </c>
      <c r="K3525" s="385">
        <v>46078</v>
      </c>
      <c r="L3525" s="369" t="s">
        <v>5673</v>
      </c>
      <c r="M3525" s="390">
        <v>46078.75917824074</v>
      </c>
      <c r="N3525" s="368" t="s">
        <v>356</v>
      </c>
      <c r="O3525" s="367" t="s">
        <v>358</v>
      </c>
      <c r="P3525" s="367" t="str">
        <f t="shared" si="131"/>
        <v>Expense</v>
      </c>
      <c r="Q3525" s="366" t="s">
        <v>4250</v>
      </c>
      <c r="R3525" s="366" t="s">
        <v>4250</v>
      </c>
      <c r="S3525" s="366" t="s">
        <v>203</v>
      </c>
    </row>
    <row r="3526" spans="1:19" ht="90" hidden="1" outlineLevel="1">
      <c r="B3526" s="384">
        <v>2026</v>
      </c>
      <c r="C3526" s="384">
        <v>8</v>
      </c>
      <c r="D3526" s="367" t="s">
        <v>5</v>
      </c>
      <c r="E3526" s="367" t="s">
        <v>6</v>
      </c>
      <c r="F3526" s="389" t="s">
        <v>5669</v>
      </c>
      <c r="G3526" s="385">
        <v>46078</v>
      </c>
      <c r="H3526" s="367" t="s">
        <v>11</v>
      </c>
      <c r="I3526" s="368" t="str">
        <f>VLOOKUP(H3526,'Source Codes'!A$2:B$115,2,FALSE)</f>
        <v>AR Payments</v>
      </c>
      <c r="J3526" s="412">
        <v>5086310.8899999997</v>
      </c>
      <c r="K3526" s="385">
        <v>46078</v>
      </c>
      <c r="L3526" s="369" t="s">
        <v>5674</v>
      </c>
      <c r="M3526" s="390">
        <v>46078.752291666664</v>
      </c>
      <c r="N3526" s="366" t="s">
        <v>359</v>
      </c>
      <c r="O3526" s="367" t="s">
        <v>357</v>
      </c>
      <c r="P3526" s="367" t="str">
        <f t="shared" si="131"/>
        <v>Revenue</v>
      </c>
      <c r="Q3526" s="366" t="s">
        <v>2157</v>
      </c>
      <c r="R3526" s="366" t="s">
        <v>2157</v>
      </c>
      <c r="S3526" s="366" t="s">
        <v>2803</v>
      </c>
    </row>
    <row r="3527" spans="1:19" ht="30" hidden="1" outlineLevel="1">
      <c r="B3527" s="384">
        <v>2026</v>
      </c>
      <c r="C3527" s="384">
        <v>8</v>
      </c>
      <c r="D3527" s="367" t="s">
        <v>5</v>
      </c>
      <c r="E3527" s="367" t="s">
        <v>6</v>
      </c>
      <c r="F3527" s="389" t="s">
        <v>5670</v>
      </c>
      <c r="G3527" s="385">
        <v>46077</v>
      </c>
      <c r="H3527" s="367" t="s">
        <v>9</v>
      </c>
      <c r="I3527" s="368" t="str">
        <f>VLOOKUP(H3527,'Source Codes'!A$2:B$115,2,FALSE)</f>
        <v>On Line Journal Entries</v>
      </c>
      <c r="J3527" s="412">
        <v>1127953.6100000001</v>
      </c>
      <c r="K3527" s="385">
        <v>46078</v>
      </c>
      <c r="L3527" s="369" t="s">
        <v>5671</v>
      </c>
      <c r="M3527" s="390">
        <v>46078.581296296295</v>
      </c>
      <c r="N3527" s="368" t="s">
        <v>2185</v>
      </c>
      <c r="O3527" s="368" t="s">
        <v>358</v>
      </c>
      <c r="P3527" s="367" t="str">
        <f t="shared" si="131"/>
        <v>Revenue</v>
      </c>
      <c r="Q3527" s="366" t="s">
        <v>3283</v>
      </c>
      <c r="R3527" s="365" t="s">
        <v>3283</v>
      </c>
      <c r="S3527" s="366">
        <v>790600</v>
      </c>
    </row>
    <row r="3528" spans="1:19" ht="12.75" customHeight="1" collapsed="1">
      <c r="J3528" s="429">
        <f>SUM(J3524:J3527)</f>
        <v>3028399.7199999997</v>
      </c>
    </row>
    <row r="3530" spans="1:19" ht="12.75" customHeight="1">
      <c r="A3530" s="378" t="s">
        <v>5675</v>
      </c>
    </row>
    <row r="3531" spans="1:19" ht="45" hidden="1" outlineLevel="1">
      <c r="B3531" s="384">
        <v>2026</v>
      </c>
      <c r="C3531" s="384">
        <v>8</v>
      </c>
      <c r="D3531" s="367" t="s">
        <v>5</v>
      </c>
      <c r="E3531" s="367" t="s">
        <v>6</v>
      </c>
      <c r="F3531" s="389" t="s">
        <v>5676</v>
      </c>
      <c r="G3531" s="385">
        <v>46076</v>
      </c>
      <c r="H3531" s="367" t="s">
        <v>12</v>
      </c>
      <c r="I3531" s="368" t="str">
        <f>VLOOKUP(H3531,'Source Codes'!A$2:B$115,2,FALSE)</f>
        <v>AR Direct Cash Journal</v>
      </c>
      <c r="J3531" s="412">
        <v>1306726.07</v>
      </c>
      <c r="K3531" s="385">
        <v>46079</v>
      </c>
      <c r="L3531" s="369" t="s">
        <v>5679</v>
      </c>
      <c r="M3531" s="390">
        <v>46079.752164351848</v>
      </c>
      <c r="N3531" s="368" t="s">
        <v>356</v>
      </c>
      <c r="O3531" s="368" t="s">
        <v>368</v>
      </c>
      <c r="P3531" s="367" t="str">
        <f>IF(J3531&gt;0,"Revenue",IF(J3531&lt;0,"Expense"))</f>
        <v>Revenue</v>
      </c>
      <c r="Q3531" s="366" t="s">
        <v>2177</v>
      </c>
      <c r="R3531" s="365" t="s">
        <v>2214</v>
      </c>
      <c r="S3531" s="366" t="s">
        <v>5678</v>
      </c>
    </row>
    <row r="3532" spans="1:19" ht="15" hidden="1" outlineLevel="1">
      <c r="B3532" s="384">
        <v>2026</v>
      </c>
      <c r="C3532" s="384">
        <v>8</v>
      </c>
      <c r="D3532" s="367" t="s">
        <v>5</v>
      </c>
      <c r="E3532" s="367" t="s">
        <v>6</v>
      </c>
      <c r="F3532" s="389" t="s">
        <v>5677</v>
      </c>
      <c r="G3532" s="385">
        <v>46071</v>
      </c>
      <c r="H3532" s="367" t="s">
        <v>7</v>
      </c>
      <c r="I3532" s="368" t="str">
        <f>VLOOKUP(H3532,'Source Codes'!A$2:B$115,2,FALSE)</f>
        <v>HRMS Interface Journals</v>
      </c>
      <c r="J3532" s="412">
        <v>-75848387.170000002</v>
      </c>
      <c r="K3532" s="385">
        <v>46079</v>
      </c>
      <c r="L3532" s="369" t="s">
        <v>406</v>
      </c>
      <c r="M3532" s="390">
        <v>46079.275497685187</v>
      </c>
      <c r="N3532" s="368" t="s">
        <v>378</v>
      </c>
      <c r="O3532" s="368" t="s">
        <v>371</v>
      </c>
      <c r="P3532" s="367" t="str">
        <f>IF(J3532&gt;0,"Revenue",IF(J3532&lt;0,"Expense"))</f>
        <v>Expense</v>
      </c>
      <c r="Q3532" s="366" t="s">
        <v>379</v>
      </c>
      <c r="R3532" s="366" t="s">
        <v>5648</v>
      </c>
      <c r="S3532" s="366" t="s">
        <v>203</v>
      </c>
    </row>
    <row r="3533" spans="1:19" ht="15" collapsed="1">
      <c r="J3533" s="413">
        <f>SUM(J3531:J3532)</f>
        <v>-74541661.100000009</v>
      </c>
    </row>
    <row r="3535" spans="1:19" ht="12.75" customHeight="1">
      <c r="A3535" s="378" t="s">
        <v>5680</v>
      </c>
    </row>
    <row r="3536" spans="1:19" ht="60" hidden="1" outlineLevel="1">
      <c r="B3536" s="384">
        <v>2026</v>
      </c>
      <c r="C3536" s="384">
        <v>8</v>
      </c>
      <c r="D3536" s="367" t="s">
        <v>5</v>
      </c>
      <c r="E3536" s="367" t="s">
        <v>6</v>
      </c>
      <c r="F3536" s="389" t="s">
        <v>5681</v>
      </c>
      <c r="G3536" s="385">
        <v>46079</v>
      </c>
      <c r="H3536" s="367" t="s">
        <v>12</v>
      </c>
      <c r="I3536" s="368" t="str">
        <f>VLOOKUP(H3536,'Source Codes'!A$2:B$115,2,FALSE)</f>
        <v>AR Direct Cash Journal</v>
      </c>
      <c r="J3536" s="412">
        <v>1030514.3</v>
      </c>
      <c r="K3536" s="385">
        <v>46080</v>
      </c>
      <c r="L3536" s="369" t="s">
        <v>5686</v>
      </c>
      <c r="M3536" s="390">
        <v>46080.752210648148</v>
      </c>
      <c r="N3536" s="368" t="s">
        <v>361</v>
      </c>
      <c r="O3536" s="368" t="s">
        <v>368</v>
      </c>
      <c r="P3536" s="367" t="str">
        <f>IF(J3536&gt;0,"Revenue",IF(J3536&lt;0,"Expense"))</f>
        <v>Revenue</v>
      </c>
      <c r="Q3536" s="366" t="s">
        <v>2177</v>
      </c>
      <c r="R3536" s="366" t="s">
        <v>5685</v>
      </c>
      <c r="S3536" s="366">
        <v>767200</v>
      </c>
    </row>
    <row r="3537" spans="1:19" ht="45" hidden="1" outlineLevel="1">
      <c r="B3537" s="384">
        <v>2026</v>
      </c>
      <c r="C3537" s="384">
        <v>8</v>
      </c>
      <c r="D3537" s="367" t="s">
        <v>5</v>
      </c>
      <c r="E3537" s="367" t="s">
        <v>6</v>
      </c>
      <c r="F3537" s="389" t="s">
        <v>5682</v>
      </c>
      <c r="G3537" s="385">
        <v>46063</v>
      </c>
      <c r="H3537" s="367" t="s">
        <v>12</v>
      </c>
      <c r="I3537" s="368" t="str">
        <f>VLOOKUP(H3537,'Source Codes'!A$2:B$115,2,FALSE)</f>
        <v>AR Direct Cash Journal</v>
      </c>
      <c r="J3537" s="412">
        <v>33143581.41</v>
      </c>
      <c r="K3537" s="385">
        <v>46080</v>
      </c>
      <c r="L3537" s="369" t="s">
        <v>5687</v>
      </c>
      <c r="M3537" s="390">
        <v>46080.752210648148</v>
      </c>
      <c r="N3537" s="366" t="s">
        <v>356</v>
      </c>
      <c r="O3537" s="367" t="s">
        <v>368</v>
      </c>
      <c r="P3537" s="367" t="str">
        <f t="shared" ref="P3537:P3538" si="132">IF(J3537&gt;0,"Revenue",IF(J3537&lt;0,"Expense"))</f>
        <v>Revenue</v>
      </c>
      <c r="Q3537" s="366" t="s">
        <v>2177</v>
      </c>
      <c r="R3537" s="366" t="s">
        <v>2214</v>
      </c>
      <c r="S3537" s="366" t="s">
        <v>5688</v>
      </c>
    </row>
    <row r="3538" spans="1:19" ht="30" hidden="1" outlineLevel="1">
      <c r="B3538" s="384">
        <v>2026</v>
      </c>
      <c r="C3538" s="384">
        <v>8</v>
      </c>
      <c r="D3538" s="367" t="s">
        <v>5</v>
      </c>
      <c r="E3538" s="367" t="s">
        <v>6</v>
      </c>
      <c r="F3538" s="389" t="s">
        <v>5683</v>
      </c>
      <c r="G3538" s="385">
        <v>46077</v>
      </c>
      <c r="H3538" s="367" t="s">
        <v>9</v>
      </c>
      <c r="I3538" s="368" t="str">
        <f>VLOOKUP(H3538,'Source Codes'!A$2:B$115,2,FALSE)</f>
        <v>On Line Journal Entries</v>
      </c>
      <c r="J3538" s="412">
        <v>208105718</v>
      </c>
      <c r="K3538" s="385">
        <v>46080</v>
      </c>
      <c r="L3538" s="369" t="s">
        <v>5684</v>
      </c>
      <c r="M3538" s="390">
        <v>46080.870034722226</v>
      </c>
      <c r="N3538" s="368" t="s">
        <v>377</v>
      </c>
      <c r="O3538" s="367" t="s">
        <v>371</v>
      </c>
      <c r="P3538" s="367" t="str">
        <f t="shared" si="132"/>
        <v>Revenue</v>
      </c>
      <c r="Q3538" s="366" t="s">
        <v>2716</v>
      </c>
      <c r="R3538" s="365" t="s">
        <v>5689</v>
      </c>
      <c r="S3538" s="366">
        <v>750200</v>
      </c>
    </row>
    <row r="3539" spans="1:19" ht="15" collapsed="1">
      <c r="J3539" s="413">
        <f>SUM(J3536:J3538)</f>
        <v>242279813.71000001</v>
      </c>
    </row>
    <row r="3541" spans="1:19" ht="12.75" customHeight="1">
      <c r="A3541" s="378" t="s">
        <v>5690</v>
      </c>
    </row>
    <row r="3542" spans="1:19" ht="30" hidden="1" outlineLevel="1">
      <c r="B3542" s="384">
        <v>2026</v>
      </c>
      <c r="C3542" s="384">
        <v>8</v>
      </c>
      <c r="D3542" s="367" t="s">
        <v>5</v>
      </c>
      <c r="E3542" s="367" t="s">
        <v>6</v>
      </c>
      <c r="F3542" s="389" t="s">
        <v>5691</v>
      </c>
      <c r="G3542" s="385">
        <v>46066</v>
      </c>
      <c r="H3542" s="367" t="s">
        <v>12</v>
      </c>
      <c r="I3542" s="368" t="str">
        <f>VLOOKUP(H3542,'Source Codes'!A$2:B$115,2,FALSE)</f>
        <v>AR Direct Cash Journal</v>
      </c>
      <c r="J3542" s="412">
        <v>2328374.1800000002</v>
      </c>
      <c r="K3542" s="385">
        <v>46083</v>
      </c>
      <c r="L3542" s="369" t="s">
        <v>5698</v>
      </c>
      <c r="M3542" s="390">
        <v>46083.752152777779</v>
      </c>
      <c r="N3542" s="368" t="s">
        <v>2185</v>
      </c>
      <c r="O3542" s="367" t="s">
        <v>385</v>
      </c>
      <c r="P3542" s="367" t="str">
        <f t="shared" ref="P3542:P3547" si="133">IF(J3542&gt;0,"Revenue",IF(J3542&lt;0,"Expense"))</f>
        <v>Revenue</v>
      </c>
      <c r="Q3542" s="366" t="s">
        <v>2757</v>
      </c>
      <c r="R3542" s="365" t="s">
        <v>2757</v>
      </c>
      <c r="S3542" s="366">
        <v>112632</v>
      </c>
    </row>
    <row r="3543" spans="1:19" ht="60" hidden="1" outlineLevel="1">
      <c r="B3543" s="384">
        <v>2026</v>
      </c>
      <c r="C3543" s="384">
        <v>8</v>
      </c>
      <c r="D3543" s="367" t="s">
        <v>5</v>
      </c>
      <c r="E3543" s="367" t="s">
        <v>6</v>
      </c>
      <c r="F3543" s="389" t="s">
        <v>5692</v>
      </c>
      <c r="G3543" s="385">
        <v>46080</v>
      </c>
      <c r="H3543" s="367" t="s">
        <v>12</v>
      </c>
      <c r="I3543" s="368" t="str">
        <f>VLOOKUP(H3543,'Source Codes'!A$2:B$115,2,FALSE)</f>
        <v>AR Direct Cash Journal</v>
      </c>
      <c r="J3543" s="412">
        <v>2698396.93</v>
      </c>
      <c r="K3543" s="385">
        <v>46083</v>
      </c>
      <c r="L3543" s="369" t="s">
        <v>5700</v>
      </c>
      <c r="M3543" s="390">
        <v>46083.752152777779</v>
      </c>
      <c r="N3543" s="366" t="s">
        <v>356</v>
      </c>
      <c r="O3543" s="367" t="s">
        <v>371</v>
      </c>
      <c r="P3543" s="367" t="str">
        <f t="shared" si="133"/>
        <v>Revenue</v>
      </c>
      <c r="Q3543" s="366" t="s">
        <v>2346</v>
      </c>
      <c r="R3543" s="366" t="s">
        <v>5699</v>
      </c>
      <c r="S3543" s="366">
        <v>750250</v>
      </c>
    </row>
    <row r="3544" spans="1:19" ht="30" hidden="1" outlineLevel="1">
      <c r="B3544" s="384">
        <v>2026</v>
      </c>
      <c r="C3544" s="384">
        <v>9</v>
      </c>
      <c r="D3544" s="367" t="s">
        <v>5</v>
      </c>
      <c r="E3544" s="367" t="s">
        <v>6</v>
      </c>
      <c r="F3544" s="389" t="s">
        <v>5693</v>
      </c>
      <c r="G3544" s="385">
        <v>46083</v>
      </c>
      <c r="H3544" s="367" t="s">
        <v>11</v>
      </c>
      <c r="I3544" s="368" t="str">
        <f>VLOOKUP(H3544,'Source Codes'!A$2:B$115,2,FALSE)</f>
        <v>AR Payments</v>
      </c>
      <c r="J3544" s="412">
        <v>1453927.76</v>
      </c>
      <c r="K3544" s="385">
        <v>46083</v>
      </c>
      <c r="L3544" s="369" t="s">
        <v>2187</v>
      </c>
      <c r="M3544" s="390">
        <v>46083.752152777779</v>
      </c>
      <c r="N3544" s="366" t="s">
        <v>359</v>
      </c>
      <c r="O3544" s="367" t="s">
        <v>357</v>
      </c>
      <c r="P3544" s="367" t="str">
        <f t="shared" si="133"/>
        <v>Revenue</v>
      </c>
      <c r="Q3544" s="366" t="s">
        <v>2157</v>
      </c>
      <c r="R3544" s="366" t="s">
        <v>2157</v>
      </c>
      <c r="S3544" s="366">
        <v>118501</v>
      </c>
    </row>
    <row r="3545" spans="1:19" ht="30" hidden="1" outlineLevel="1">
      <c r="B3545" s="384">
        <v>2026</v>
      </c>
      <c r="C3545" s="384">
        <v>8</v>
      </c>
      <c r="D3545" s="367" t="s">
        <v>5</v>
      </c>
      <c r="E3545" s="367" t="s">
        <v>6</v>
      </c>
      <c r="F3545" s="389" t="s">
        <v>5694</v>
      </c>
      <c r="G3545" s="385">
        <v>46077</v>
      </c>
      <c r="H3545" s="367" t="s">
        <v>9</v>
      </c>
      <c r="I3545" s="368" t="str">
        <f>VLOOKUP(H3545,'Source Codes'!A$2:B$115,2,FALSE)</f>
        <v>On Line Journal Entries</v>
      </c>
      <c r="J3545" s="412">
        <v>32574878.68</v>
      </c>
      <c r="K3545" s="385">
        <v>46083</v>
      </c>
      <c r="L3545" s="369" t="s">
        <v>5697</v>
      </c>
      <c r="M3545" s="390">
        <v>46083.87023148148</v>
      </c>
      <c r="N3545" s="366" t="s">
        <v>359</v>
      </c>
      <c r="O3545" s="367" t="s">
        <v>371</v>
      </c>
      <c r="P3545" s="367" t="str">
        <f t="shared" si="133"/>
        <v>Revenue</v>
      </c>
      <c r="Q3545" s="366" t="s">
        <v>2158</v>
      </c>
      <c r="R3545" s="366" t="s">
        <v>5701</v>
      </c>
      <c r="S3545" s="366">
        <v>755120</v>
      </c>
    </row>
    <row r="3546" spans="1:19" ht="30" hidden="1" outlineLevel="1">
      <c r="B3546" s="384">
        <v>2026</v>
      </c>
      <c r="C3546" s="384">
        <v>8</v>
      </c>
      <c r="D3546" s="367" t="s">
        <v>5</v>
      </c>
      <c r="E3546" s="367" t="s">
        <v>6</v>
      </c>
      <c r="F3546" s="389" t="s">
        <v>5695</v>
      </c>
      <c r="G3546" s="385">
        <v>46073</v>
      </c>
      <c r="H3546" s="367" t="s">
        <v>9</v>
      </c>
      <c r="I3546" s="368" t="str">
        <f>VLOOKUP(H3546,'Source Codes'!A$2:B$115,2,FALSE)</f>
        <v>On Line Journal Entries</v>
      </c>
      <c r="J3546" s="412">
        <v>8211000</v>
      </c>
      <c r="K3546" s="385">
        <v>46083</v>
      </c>
      <c r="L3546" s="369" t="s">
        <v>344</v>
      </c>
      <c r="M3546" s="390">
        <v>46083.87023148148</v>
      </c>
      <c r="N3546" s="368" t="s">
        <v>359</v>
      </c>
      <c r="O3546" s="367" t="s">
        <v>364</v>
      </c>
      <c r="P3546" s="367" t="str">
        <f t="shared" si="133"/>
        <v>Revenue</v>
      </c>
      <c r="Q3546" s="366" t="s">
        <v>2232</v>
      </c>
      <c r="R3546" s="366" t="s">
        <v>2232</v>
      </c>
      <c r="S3546" s="366">
        <v>230141</v>
      </c>
    </row>
    <row r="3547" spans="1:19" ht="30" hidden="1" outlineLevel="1">
      <c r="B3547" s="384">
        <v>2026</v>
      </c>
      <c r="C3547" s="384">
        <v>8</v>
      </c>
      <c r="D3547" s="367" t="s">
        <v>5</v>
      </c>
      <c r="E3547" s="367" t="s">
        <v>6</v>
      </c>
      <c r="F3547" s="389" t="s">
        <v>5696</v>
      </c>
      <c r="G3547" s="385">
        <v>46073</v>
      </c>
      <c r="H3547" s="367" t="s">
        <v>9</v>
      </c>
      <c r="I3547" s="368" t="str">
        <f>VLOOKUP(H3547,'Source Codes'!A$2:B$115,2,FALSE)</f>
        <v>On Line Journal Entries</v>
      </c>
      <c r="J3547" s="412">
        <v>6967900</v>
      </c>
      <c r="K3547" s="385">
        <v>46083</v>
      </c>
      <c r="L3547" s="369" t="s">
        <v>344</v>
      </c>
      <c r="M3547" s="390">
        <v>46083.87023148148</v>
      </c>
      <c r="N3547" s="368" t="s">
        <v>359</v>
      </c>
      <c r="O3547" s="367" t="s">
        <v>364</v>
      </c>
      <c r="P3547" s="367" t="str">
        <f t="shared" si="133"/>
        <v>Revenue</v>
      </c>
      <c r="Q3547" s="366" t="s">
        <v>2232</v>
      </c>
      <c r="R3547" s="366" t="s">
        <v>2232</v>
      </c>
      <c r="S3547" s="366">
        <v>230141</v>
      </c>
    </row>
    <row r="3548" spans="1:19" ht="15" collapsed="1">
      <c r="J3548" s="413">
        <f>SUM(J3542:J3547)</f>
        <v>54234477.549999997</v>
      </c>
    </row>
    <row r="3550" spans="1:19" ht="12.75" customHeight="1">
      <c r="A3550" s="378" t="s">
        <v>5702</v>
      </c>
    </row>
    <row r="3551" spans="1:19" ht="30" hidden="1" outlineLevel="1">
      <c r="B3551" s="384">
        <v>2026</v>
      </c>
      <c r="C3551" s="384">
        <v>8</v>
      </c>
      <c r="D3551" s="367" t="s">
        <v>5</v>
      </c>
      <c r="E3551" s="367" t="s">
        <v>6</v>
      </c>
      <c r="F3551" s="389" t="s">
        <v>5703</v>
      </c>
      <c r="G3551" s="385">
        <v>46076</v>
      </c>
      <c r="H3551" s="367" t="s">
        <v>9</v>
      </c>
      <c r="I3551" s="368" t="str">
        <f>VLOOKUP(H3551,'Source Codes'!A$2:B$115,2,FALSE)</f>
        <v>On Line Journal Entries</v>
      </c>
      <c r="J3551" s="412">
        <v>17137873.420000002</v>
      </c>
      <c r="K3551" s="385">
        <v>46084</v>
      </c>
      <c r="L3551" s="369" t="s">
        <v>344</v>
      </c>
      <c r="M3551" s="390">
        <v>46084.39329861111</v>
      </c>
      <c r="N3551" s="368" t="s">
        <v>359</v>
      </c>
      <c r="O3551" s="367" t="s">
        <v>364</v>
      </c>
      <c r="P3551" s="367" t="str">
        <f t="shared" ref="P3551:P3558" si="134">IF(J3551&gt;0,"Revenue",IF(J3551&lt;0,"Expense"))</f>
        <v>Revenue</v>
      </c>
      <c r="Q3551" s="366" t="s">
        <v>2232</v>
      </c>
      <c r="R3551" s="366" t="s">
        <v>2232</v>
      </c>
      <c r="S3551" s="366" t="s">
        <v>3044</v>
      </c>
    </row>
    <row r="3552" spans="1:19" ht="45" hidden="1" outlineLevel="1">
      <c r="B3552" s="384">
        <v>2026</v>
      </c>
      <c r="C3552" s="384">
        <v>8</v>
      </c>
      <c r="D3552" s="367" t="s">
        <v>5</v>
      </c>
      <c r="E3552" s="367" t="s">
        <v>6</v>
      </c>
      <c r="F3552" s="389" t="s">
        <v>5704</v>
      </c>
      <c r="G3552" s="385">
        <v>46080</v>
      </c>
      <c r="H3552" s="367" t="s">
        <v>9</v>
      </c>
      <c r="I3552" s="368" t="str">
        <f>VLOOKUP(H3552,'Source Codes'!A$2:B$115,2,FALSE)</f>
        <v>On Line Journal Entries</v>
      </c>
      <c r="J3552" s="412">
        <v>15644558.52</v>
      </c>
      <c r="K3552" s="385">
        <v>46084</v>
      </c>
      <c r="L3552" s="369" t="s">
        <v>5711</v>
      </c>
      <c r="M3552" s="390">
        <v>46084.485601851855</v>
      </c>
      <c r="N3552" s="366" t="s">
        <v>359</v>
      </c>
      <c r="O3552" s="367" t="s">
        <v>371</v>
      </c>
      <c r="P3552" s="367" t="str">
        <f t="shared" si="134"/>
        <v>Revenue</v>
      </c>
      <c r="Q3552" s="366" t="s">
        <v>2427</v>
      </c>
      <c r="R3552" s="366" t="s">
        <v>5718</v>
      </c>
      <c r="S3552" s="366" t="s">
        <v>2160</v>
      </c>
    </row>
    <row r="3553" spans="1:19" ht="60" hidden="1" outlineLevel="1">
      <c r="B3553" s="384">
        <v>2026</v>
      </c>
      <c r="C3553" s="384">
        <v>8</v>
      </c>
      <c r="D3553" s="367" t="s">
        <v>5</v>
      </c>
      <c r="E3553" s="367" t="s">
        <v>6</v>
      </c>
      <c r="F3553" s="389" t="s">
        <v>5705</v>
      </c>
      <c r="G3553" s="385">
        <v>46080</v>
      </c>
      <c r="H3553" s="367" t="s">
        <v>9</v>
      </c>
      <c r="I3553" s="368" t="str">
        <f>VLOOKUP(H3553,'Source Codes'!A$2:B$115,2,FALSE)</f>
        <v>On Line Journal Entries</v>
      </c>
      <c r="J3553" s="412">
        <v>3348859.09</v>
      </c>
      <c r="K3553" s="385">
        <v>46084</v>
      </c>
      <c r="L3553" s="369" t="s">
        <v>5712</v>
      </c>
      <c r="M3553" s="390">
        <v>46084.485972222225</v>
      </c>
      <c r="N3553" s="366" t="s">
        <v>359</v>
      </c>
      <c r="O3553" s="367" t="s">
        <v>371</v>
      </c>
      <c r="P3553" s="367" t="str">
        <f t="shared" si="134"/>
        <v>Revenue</v>
      </c>
      <c r="Q3553" s="366" t="s">
        <v>3577</v>
      </c>
      <c r="R3553" s="366" t="s">
        <v>5719</v>
      </c>
      <c r="S3553" s="366">
        <v>750900</v>
      </c>
    </row>
    <row r="3554" spans="1:19" ht="15" hidden="1" outlineLevel="1">
      <c r="B3554" s="384">
        <v>2026</v>
      </c>
      <c r="C3554" s="384">
        <v>8</v>
      </c>
      <c r="D3554" s="367" t="s">
        <v>5</v>
      </c>
      <c r="E3554" s="367" t="s">
        <v>6</v>
      </c>
      <c r="F3554" s="389" t="s">
        <v>5706</v>
      </c>
      <c r="G3554" s="385">
        <v>46080</v>
      </c>
      <c r="H3554" s="367" t="s">
        <v>9</v>
      </c>
      <c r="I3554" s="368" t="str">
        <f>VLOOKUP(H3554,'Source Codes'!A$2:B$115,2,FALSE)</f>
        <v>On Line Journal Entries</v>
      </c>
      <c r="J3554" s="412">
        <v>2320452.23</v>
      </c>
      <c r="K3554" s="385">
        <v>46084</v>
      </c>
      <c r="L3554" s="369" t="s">
        <v>5713</v>
      </c>
      <c r="M3554" s="390">
        <v>46084.487916666665</v>
      </c>
      <c r="N3554" s="366" t="s">
        <v>359</v>
      </c>
      <c r="O3554" s="367" t="s">
        <v>371</v>
      </c>
      <c r="P3554" s="367" t="str">
        <f t="shared" si="134"/>
        <v>Revenue</v>
      </c>
      <c r="Q3554" s="366" t="s">
        <v>2164</v>
      </c>
      <c r="R3554" s="394" t="s">
        <v>5720</v>
      </c>
      <c r="S3554" s="366">
        <v>755909</v>
      </c>
    </row>
    <row r="3555" spans="1:19" ht="45" hidden="1" outlineLevel="1">
      <c r="B3555" s="384">
        <v>2026</v>
      </c>
      <c r="C3555" s="384">
        <v>8</v>
      </c>
      <c r="D3555" s="367" t="s">
        <v>5</v>
      </c>
      <c r="E3555" s="367" t="s">
        <v>6</v>
      </c>
      <c r="F3555" s="389" t="s">
        <v>5707</v>
      </c>
      <c r="G3555" s="385">
        <v>46080</v>
      </c>
      <c r="H3555" s="367" t="s">
        <v>9</v>
      </c>
      <c r="I3555" s="368" t="str">
        <f>VLOOKUP(H3555,'Source Codes'!A$2:B$115,2,FALSE)</f>
        <v>On Line Journal Entries</v>
      </c>
      <c r="J3555" s="412">
        <v>-1443522.13</v>
      </c>
      <c r="K3555" s="385">
        <v>46084</v>
      </c>
      <c r="L3555" s="369" t="s">
        <v>5714</v>
      </c>
      <c r="M3555" s="390">
        <v>46084.486585648148</v>
      </c>
      <c r="N3555" s="366" t="s">
        <v>356</v>
      </c>
      <c r="O3555" s="367" t="s">
        <v>371</v>
      </c>
      <c r="P3555" s="367" t="str">
        <f t="shared" si="134"/>
        <v>Expense</v>
      </c>
      <c r="Q3555" s="366" t="s">
        <v>2429</v>
      </c>
      <c r="R3555" s="365" t="s">
        <v>5721</v>
      </c>
      <c r="S3555" s="366" t="s">
        <v>2166</v>
      </c>
    </row>
    <row r="3556" spans="1:19" ht="30" hidden="1" outlineLevel="1">
      <c r="B3556" s="384">
        <v>2026</v>
      </c>
      <c r="C3556" s="384">
        <v>8</v>
      </c>
      <c r="D3556" s="367" t="s">
        <v>5</v>
      </c>
      <c r="E3556" s="367" t="s">
        <v>6</v>
      </c>
      <c r="F3556" s="389" t="s">
        <v>5708</v>
      </c>
      <c r="G3556" s="385">
        <v>46054</v>
      </c>
      <c r="H3556" s="367" t="s">
        <v>9</v>
      </c>
      <c r="I3556" s="368" t="str">
        <f>VLOOKUP(H3556,'Source Codes'!A$2:B$115,2,FALSE)</f>
        <v>On Line Journal Entries</v>
      </c>
      <c r="J3556" s="412">
        <v>-3743066.78</v>
      </c>
      <c r="K3556" s="385">
        <v>46084</v>
      </c>
      <c r="L3556" s="369" t="s">
        <v>5715</v>
      </c>
      <c r="M3556" s="390">
        <v>46084.668946759259</v>
      </c>
      <c r="N3556" s="368" t="s">
        <v>387</v>
      </c>
      <c r="O3556" s="367" t="s">
        <v>374</v>
      </c>
      <c r="P3556" s="367" t="str">
        <f t="shared" si="134"/>
        <v>Expense</v>
      </c>
      <c r="Q3556" s="366" t="s">
        <v>2660</v>
      </c>
      <c r="R3556" s="366" t="s">
        <v>5722</v>
      </c>
      <c r="S3556" s="366" t="s">
        <v>2658</v>
      </c>
    </row>
    <row r="3557" spans="1:19" ht="15" hidden="1" outlineLevel="1">
      <c r="B3557" s="384">
        <v>2026</v>
      </c>
      <c r="C3557" s="384">
        <v>9</v>
      </c>
      <c r="D3557" s="367" t="s">
        <v>5</v>
      </c>
      <c r="E3557" s="367" t="s">
        <v>6</v>
      </c>
      <c r="F3557" s="389" t="s">
        <v>5709</v>
      </c>
      <c r="G3557" s="385">
        <v>46082</v>
      </c>
      <c r="H3557" s="367" t="s">
        <v>13</v>
      </c>
      <c r="I3557" s="368" t="str">
        <f>VLOOKUP(H3557,'Source Codes'!A$2:B$115,2,FALSE)</f>
        <v>C-IV Voucher/Payments/EBT</v>
      </c>
      <c r="J3557" s="412">
        <v>-12098501.470000001</v>
      </c>
      <c r="K3557" s="385">
        <v>46084</v>
      </c>
      <c r="L3557" s="369" t="s">
        <v>5716</v>
      </c>
      <c r="M3557" s="390">
        <v>46084.871006944442</v>
      </c>
      <c r="N3557" s="366" t="s">
        <v>356</v>
      </c>
      <c r="O3557" s="367" t="s">
        <v>364</v>
      </c>
      <c r="P3557" s="367" t="str">
        <f t="shared" si="134"/>
        <v>Expense</v>
      </c>
      <c r="Q3557" s="366" t="s">
        <v>2204</v>
      </c>
      <c r="R3557" s="393">
        <v>46054</v>
      </c>
      <c r="S3557" s="366">
        <v>530480</v>
      </c>
    </row>
    <row r="3558" spans="1:19" ht="15" hidden="1" outlineLevel="1">
      <c r="B3558" s="384">
        <v>2026</v>
      </c>
      <c r="C3558" s="384">
        <v>9</v>
      </c>
      <c r="D3558" s="367" t="s">
        <v>5</v>
      </c>
      <c r="E3558" s="367" t="s">
        <v>6</v>
      </c>
      <c r="F3558" s="389" t="s">
        <v>5710</v>
      </c>
      <c r="G3558" s="385">
        <v>46082</v>
      </c>
      <c r="H3558" s="367" t="s">
        <v>13</v>
      </c>
      <c r="I3558" s="368" t="str">
        <f>VLOOKUP(H3558,'Source Codes'!A$2:B$115,2,FALSE)</f>
        <v>C-IV Voucher/Payments/EBT</v>
      </c>
      <c r="J3558" s="412">
        <v>-15760466.52</v>
      </c>
      <c r="K3558" s="385">
        <v>46084</v>
      </c>
      <c r="L3558" s="369" t="s">
        <v>5717</v>
      </c>
      <c r="M3558" s="390">
        <v>46084.871006944442</v>
      </c>
      <c r="N3558" s="366" t="s">
        <v>356</v>
      </c>
      <c r="O3558" s="367" t="s">
        <v>364</v>
      </c>
      <c r="P3558" s="367" t="str">
        <f t="shared" si="134"/>
        <v>Expense</v>
      </c>
      <c r="Q3558" s="366" t="s">
        <v>2204</v>
      </c>
      <c r="R3558" s="393">
        <v>46054</v>
      </c>
      <c r="S3558" s="366">
        <v>530480</v>
      </c>
    </row>
    <row r="3559" spans="1:19" ht="15" collapsed="1">
      <c r="J3559" s="413">
        <f>SUM(J3551:J3558)</f>
        <v>5406186.3599999957</v>
      </c>
    </row>
    <row r="3561" spans="1:19" ht="12.75" customHeight="1">
      <c r="A3561" s="378" t="s">
        <v>5723</v>
      </c>
    </row>
    <row r="3562" spans="1:19" ht="30" hidden="1" outlineLevel="1">
      <c r="B3562" s="384">
        <v>2026</v>
      </c>
      <c r="C3562" s="384">
        <v>9</v>
      </c>
      <c r="D3562" s="367" t="s">
        <v>5</v>
      </c>
      <c r="E3562" s="367" t="s">
        <v>6</v>
      </c>
      <c r="F3562" s="389" t="s">
        <v>5724</v>
      </c>
      <c r="G3562" s="385">
        <v>46087</v>
      </c>
      <c r="H3562" s="367" t="s">
        <v>14</v>
      </c>
      <c r="I3562" s="368" t="str">
        <f>VLOOKUP(H3562,'Source Codes'!A$2:B$115,2,FALSE)</f>
        <v>AP Warrant Issuance</v>
      </c>
      <c r="J3562" s="412">
        <v>-3536249.99</v>
      </c>
      <c r="K3562" s="385">
        <v>46085</v>
      </c>
      <c r="L3562" s="369" t="s">
        <v>5732</v>
      </c>
      <c r="M3562" s="390">
        <v>46085.759328703702</v>
      </c>
      <c r="N3562" s="366" t="s">
        <v>356</v>
      </c>
      <c r="O3562" s="367" t="s">
        <v>368</v>
      </c>
      <c r="P3562" s="367" t="str">
        <f t="shared" ref="P3562:P3566" si="135">IF(J3562&gt;0,"Revenue",IF(J3562&lt;0,"Expense"))</f>
        <v>Expense</v>
      </c>
      <c r="Q3562" s="366" t="s">
        <v>2154</v>
      </c>
      <c r="R3562" s="366" t="s">
        <v>2154</v>
      </c>
      <c r="S3562" s="366" t="s">
        <v>203</v>
      </c>
    </row>
    <row r="3563" spans="1:19" ht="30" hidden="1" outlineLevel="1">
      <c r="B3563" s="384">
        <v>2026</v>
      </c>
      <c r="C3563" s="384">
        <v>9</v>
      </c>
      <c r="D3563" s="367" t="s">
        <v>5</v>
      </c>
      <c r="E3563" s="367" t="s">
        <v>6</v>
      </c>
      <c r="F3563" s="389" t="s">
        <v>5725</v>
      </c>
      <c r="G3563" s="385">
        <v>46085</v>
      </c>
      <c r="H3563" s="367" t="s">
        <v>14</v>
      </c>
      <c r="I3563" s="368" t="str">
        <f>VLOOKUP(H3563,'Source Codes'!A$2:B$115,2,FALSE)</f>
        <v>AP Warrant Issuance</v>
      </c>
      <c r="J3563" s="412">
        <v>-1279358.5900000001</v>
      </c>
      <c r="K3563" s="385">
        <v>46085</v>
      </c>
      <c r="L3563" s="369" t="s">
        <v>5733</v>
      </c>
      <c r="M3563" s="390">
        <v>46085.759328703702</v>
      </c>
      <c r="N3563" s="366" t="s">
        <v>356</v>
      </c>
      <c r="O3563" s="367" t="s">
        <v>368</v>
      </c>
      <c r="P3563" s="367" t="str">
        <f t="shared" si="135"/>
        <v>Expense</v>
      </c>
      <c r="Q3563" s="366" t="s">
        <v>2154</v>
      </c>
      <c r="R3563" s="366" t="s">
        <v>2154</v>
      </c>
      <c r="S3563" s="366" t="s">
        <v>203</v>
      </c>
    </row>
    <row r="3564" spans="1:19" ht="30" hidden="1" outlineLevel="1">
      <c r="B3564" s="384">
        <v>2026</v>
      </c>
      <c r="C3564" s="384">
        <v>9</v>
      </c>
      <c r="D3564" s="367" t="s">
        <v>5</v>
      </c>
      <c r="E3564" s="367" t="s">
        <v>6</v>
      </c>
      <c r="F3564" s="389" t="s">
        <v>5726</v>
      </c>
      <c r="G3564" s="385">
        <v>46084</v>
      </c>
      <c r="H3564" s="367" t="s">
        <v>9</v>
      </c>
      <c r="I3564" s="368" t="str">
        <f>VLOOKUP(H3564,'Source Codes'!A$2:B$115,2,FALSE)</f>
        <v>On Line Journal Entries</v>
      </c>
      <c r="J3564" s="412">
        <v>6265691.9500000002</v>
      </c>
      <c r="K3564" s="385">
        <v>46085</v>
      </c>
      <c r="L3564" s="369" t="s">
        <v>5729</v>
      </c>
      <c r="M3564" s="390">
        <v>46085.317384259259</v>
      </c>
      <c r="N3564" s="366" t="s">
        <v>2185</v>
      </c>
      <c r="O3564" s="367" t="s">
        <v>371</v>
      </c>
      <c r="P3564" s="367" t="str">
        <f t="shared" si="135"/>
        <v>Revenue</v>
      </c>
      <c r="Q3564" s="366" t="s">
        <v>5734</v>
      </c>
      <c r="R3564" s="366" t="s">
        <v>5734</v>
      </c>
      <c r="S3564" s="366">
        <v>781360</v>
      </c>
    </row>
    <row r="3565" spans="1:19" ht="30" hidden="1" outlineLevel="1">
      <c r="B3565" s="384">
        <v>2026</v>
      </c>
      <c r="C3565" s="384">
        <v>9</v>
      </c>
      <c r="D3565" s="367" t="s">
        <v>5</v>
      </c>
      <c r="E3565" s="367" t="s">
        <v>6</v>
      </c>
      <c r="F3565" s="389" t="s">
        <v>5727</v>
      </c>
      <c r="G3565" s="385">
        <v>46084</v>
      </c>
      <c r="H3565" s="367" t="s">
        <v>9</v>
      </c>
      <c r="I3565" s="368" t="str">
        <f>VLOOKUP(H3565,'Source Codes'!A$2:B$115,2,FALSE)</f>
        <v>On Line Journal Entries</v>
      </c>
      <c r="J3565" s="412">
        <v>5969165.2599999998</v>
      </c>
      <c r="K3565" s="385">
        <v>46085</v>
      </c>
      <c r="L3565" s="369" t="s">
        <v>5730</v>
      </c>
      <c r="M3565" s="390">
        <v>46085.869652777779</v>
      </c>
      <c r="N3565" s="366" t="s">
        <v>361</v>
      </c>
      <c r="O3565" s="367" t="s">
        <v>371</v>
      </c>
      <c r="P3565" s="367" t="str">
        <f t="shared" si="135"/>
        <v>Revenue</v>
      </c>
      <c r="Q3565" s="366" t="s">
        <v>2176</v>
      </c>
      <c r="R3565" s="393" t="s">
        <v>2176</v>
      </c>
      <c r="S3565" s="366">
        <v>132600</v>
      </c>
    </row>
    <row r="3566" spans="1:19" ht="30" hidden="1" outlineLevel="1">
      <c r="B3566" s="384">
        <v>2026</v>
      </c>
      <c r="C3566" s="384">
        <v>9</v>
      </c>
      <c r="D3566" s="367" t="s">
        <v>5</v>
      </c>
      <c r="E3566" s="367" t="s">
        <v>6</v>
      </c>
      <c r="F3566" s="389" t="s">
        <v>5728</v>
      </c>
      <c r="G3566" s="385">
        <v>46082</v>
      </c>
      <c r="H3566" s="367" t="s">
        <v>9</v>
      </c>
      <c r="I3566" s="368" t="str">
        <f>VLOOKUP(H3566,'Source Codes'!A$2:B$115,2,FALSE)</f>
        <v>On Line Journal Entries</v>
      </c>
      <c r="J3566" s="412">
        <v>-4444115.4000000004</v>
      </c>
      <c r="K3566" s="385">
        <v>46085</v>
      </c>
      <c r="L3566" s="369" t="s">
        <v>5731</v>
      </c>
      <c r="M3566" s="390">
        <v>46085.869652777779</v>
      </c>
      <c r="N3566" s="366" t="s">
        <v>356</v>
      </c>
      <c r="O3566" s="367" t="s">
        <v>373</v>
      </c>
      <c r="P3566" s="367" t="str">
        <f t="shared" si="135"/>
        <v>Expense</v>
      </c>
      <c r="Q3566" s="366" t="s">
        <v>2517</v>
      </c>
      <c r="R3566" s="366" t="s">
        <v>5735</v>
      </c>
      <c r="S3566" s="366">
        <v>517000</v>
      </c>
    </row>
    <row r="3567" spans="1:19" ht="15" collapsed="1">
      <c r="J3567" s="413">
        <f>SUM(J3562:J3566)</f>
        <v>2975133.2299999995</v>
      </c>
    </row>
    <row r="3569" spans="1:19" ht="12.75" customHeight="1">
      <c r="A3569" s="378" t="s">
        <v>5736</v>
      </c>
      <c r="B3569" s="396"/>
      <c r="C3569" s="396"/>
    </row>
    <row r="3570" spans="1:19" ht="90" hidden="1" outlineLevel="1">
      <c r="B3570" s="384">
        <v>2026</v>
      </c>
      <c r="C3570" s="384">
        <v>9</v>
      </c>
      <c r="D3570" s="367" t="s">
        <v>5</v>
      </c>
      <c r="E3570" s="367" t="s">
        <v>6</v>
      </c>
      <c r="F3570" s="389" t="s">
        <v>5737</v>
      </c>
      <c r="G3570" s="385">
        <v>46090</v>
      </c>
      <c r="H3570" s="367" t="s">
        <v>14</v>
      </c>
      <c r="I3570" s="368" t="str">
        <f>VLOOKUP(H3570,'Source Codes'!A$2:B$115,2,FALSE)</f>
        <v>AP Warrant Issuance</v>
      </c>
      <c r="J3570" s="412">
        <v>-90088467.629999995</v>
      </c>
      <c r="K3570" s="385">
        <v>46086</v>
      </c>
      <c r="L3570" s="369" t="s">
        <v>5759</v>
      </c>
      <c r="M3570" s="390">
        <v>46086.7577662037</v>
      </c>
      <c r="N3570" s="366" t="s">
        <v>359</v>
      </c>
      <c r="O3570" s="367" t="s">
        <v>364</v>
      </c>
      <c r="P3570" s="368" t="s">
        <v>2613</v>
      </c>
      <c r="Q3570" s="366" t="s">
        <v>2748</v>
      </c>
      <c r="R3570" s="365">
        <v>46054</v>
      </c>
      <c r="S3570" s="366">
        <v>530440</v>
      </c>
    </row>
    <row r="3571" spans="1:19" ht="45" hidden="1" outlineLevel="1">
      <c r="B3571" s="384">
        <v>2026</v>
      </c>
      <c r="C3571" s="384">
        <v>9</v>
      </c>
      <c r="D3571" s="367" t="s">
        <v>5</v>
      </c>
      <c r="E3571" s="367" t="s">
        <v>6</v>
      </c>
      <c r="F3571" s="389" t="s">
        <v>5738</v>
      </c>
      <c r="G3571" s="385">
        <v>46086</v>
      </c>
      <c r="H3571" s="367" t="s">
        <v>14</v>
      </c>
      <c r="I3571" s="368" t="str">
        <f>VLOOKUP(H3571,'Source Codes'!A$2:B$115,2,FALSE)</f>
        <v>AP Warrant Issuance</v>
      </c>
      <c r="J3571" s="412">
        <v>-2064726.25</v>
      </c>
      <c r="K3571" s="385">
        <v>46086</v>
      </c>
      <c r="L3571" s="369" t="s">
        <v>5745</v>
      </c>
      <c r="M3571" s="390">
        <v>46086.7577662037</v>
      </c>
      <c r="N3571" s="366" t="s">
        <v>356</v>
      </c>
      <c r="O3571" s="367" t="s">
        <v>368</v>
      </c>
      <c r="P3571" s="368" t="s">
        <v>2613</v>
      </c>
      <c r="Q3571" s="366" t="s">
        <v>2154</v>
      </c>
      <c r="R3571" s="366" t="s">
        <v>2154</v>
      </c>
      <c r="S3571" s="366" t="s">
        <v>5746</v>
      </c>
    </row>
    <row r="3572" spans="1:19" ht="30" hidden="1" outlineLevel="1">
      <c r="B3572" s="384">
        <v>2026</v>
      </c>
      <c r="C3572" s="384">
        <v>9</v>
      </c>
      <c r="D3572" s="367" t="s">
        <v>5</v>
      </c>
      <c r="E3572" s="367" t="s">
        <v>6</v>
      </c>
      <c r="F3572" s="389" t="s">
        <v>5739</v>
      </c>
      <c r="G3572" s="385">
        <v>46090</v>
      </c>
      <c r="H3572" s="367" t="s">
        <v>14</v>
      </c>
      <c r="I3572" s="368" t="str">
        <f>VLOOKUP(H3572,'Source Codes'!A$2:B$115,2,FALSE)</f>
        <v>AP Warrant Issuance</v>
      </c>
      <c r="J3572" s="412">
        <v>-1136979.6299999999</v>
      </c>
      <c r="K3572" s="385">
        <v>46086</v>
      </c>
      <c r="L3572" s="369" t="s">
        <v>5747</v>
      </c>
      <c r="M3572" s="390">
        <v>46086.7577662037</v>
      </c>
      <c r="N3572" s="366" t="s">
        <v>356</v>
      </c>
      <c r="O3572" s="367" t="s">
        <v>368</v>
      </c>
      <c r="P3572" s="368" t="s">
        <v>2613</v>
      </c>
      <c r="Q3572" s="366" t="s">
        <v>2154</v>
      </c>
      <c r="R3572" s="366" t="s">
        <v>2154</v>
      </c>
      <c r="S3572" s="366" t="s">
        <v>203</v>
      </c>
    </row>
    <row r="3573" spans="1:19" ht="60" hidden="1" outlineLevel="1">
      <c r="B3573" s="384">
        <v>2026</v>
      </c>
      <c r="C3573" s="384">
        <v>9</v>
      </c>
      <c r="D3573" s="367" t="s">
        <v>5</v>
      </c>
      <c r="E3573" s="367" t="s">
        <v>6</v>
      </c>
      <c r="F3573" s="389" t="s">
        <v>5740</v>
      </c>
      <c r="G3573" s="385">
        <v>46086</v>
      </c>
      <c r="H3573" s="367" t="s">
        <v>11</v>
      </c>
      <c r="I3573" s="368" t="str">
        <f>VLOOKUP(H3573,'Source Codes'!A$2:B$115,2,FALSE)</f>
        <v>AR Payments</v>
      </c>
      <c r="J3573" s="412">
        <v>4549045.05</v>
      </c>
      <c r="K3573" s="385">
        <v>46086</v>
      </c>
      <c r="L3573" s="369" t="s">
        <v>5748</v>
      </c>
      <c r="M3573" s="390">
        <v>46086.75199074074</v>
      </c>
      <c r="N3573" s="366" t="s">
        <v>359</v>
      </c>
      <c r="O3573" s="367" t="s">
        <v>357</v>
      </c>
      <c r="P3573" s="368" t="s">
        <v>2290</v>
      </c>
      <c r="Q3573" s="366" t="s">
        <v>2157</v>
      </c>
      <c r="R3573" s="366" t="s">
        <v>2157</v>
      </c>
      <c r="S3573" s="366" t="s">
        <v>5749</v>
      </c>
    </row>
    <row r="3574" spans="1:19" ht="30" hidden="1" outlineLevel="1">
      <c r="B3574" s="384">
        <v>2026</v>
      </c>
      <c r="C3574" s="384">
        <v>9</v>
      </c>
      <c r="D3574" s="367" t="s">
        <v>5</v>
      </c>
      <c r="E3574" s="367" t="s">
        <v>6</v>
      </c>
      <c r="F3574" s="389" t="s">
        <v>5741</v>
      </c>
      <c r="G3574" s="385">
        <v>46082</v>
      </c>
      <c r="H3574" s="367" t="s">
        <v>9</v>
      </c>
      <c r="I3574" s="368" t="str">
        <f>VLOOKUP(H3574,'Source Codes'!A$2:B$115,2,FALSE)</f>
        <v>On Line Journal Entries</v>
      </c>
      <c r="J3574" s="412">
        <v>-1712372.49</v>
      </c>
      <c r="K3574" s="385">
        <v>46086</v>
      </c>
      <c r="L3574" s="369" t="s">
        <v>5744</v>
      </c>
      <c r="M3574" s="390">
        <v>46086.870671296296</v>
      </c>
      <c r="N3574" s="366" t="s">
        <v>356</v>
      </c>
      <c r="O3574" s="367" t="s">
        <v>373</v>
      </c>
      <c r="P3574" s="368" t="s">
        <v>2613</v>
      </c>
      <c r="Q3574" s="366" t="s">
        <v>2476</v>
      </c>
      <c r="R3574" s="366" t="s">
        <v>5609</v>
      </c>
      <c r="S3574" s="366">
        <v>520945</v>
      </c>
    </row>
    <row r="3575" spans="1:19" ht="15" hidden="1" outlineLevel="1">
      <c r="B3575" s="384">
        <v>2026</v>
      </c>
      <c r="C3575" s="384">
        <v>9</v>
      </c>
      <c r="D3575" s="367" t="s">
        <v>5</v>
      </c>
      <c r="E3575" s="367" t="s">
        <v>6</v>
      </c>
      <c r="F3575" s="389" t="s">
        <v>5742</v>
      </c>
      <c r="G3575" s="385">
        <v>46085</v>
      </c>
      <c r="H3575" s="367" t="s">
        <v>7</v>
      </c>
      <c r="I3575" s="368" t="str">
        <f>VLOOKUP(H3575,'Source Codes'!A$2:B$115,2,FALSE)</f>
        <v>HRMS Interface Journals</v>
      </c>
      <c r="J3575" s="412">
        <v>-2692846.02</v>
      </c>
      <c r="K3575" s="385">
        <v>46086</v>
      </c>
      <c r="L3575" s="369" t="s">
        <v>409</v>
      </c>
      <c r="M3575" s="390">
        <v>46086.340243055558</v>
      </c>
      <c r="N3575" s="366" t="s">
        <v>378</v>
      </c>
      <c r="O3575" s="367" t="s">
        <v>379</v>
      </c>
      <c r="P3575" s="368" t="s">
        <v>2613</v>
      </c>
      <c r="Q3575" s="366" t="s">
        <v>379</v>
      </c>
      <c r="R3575" s="366" t="s">
        <v>5750</v>
      </c>
      <c r="S3575" s="366">
        <v>513120</v>
      </c>
    </row>
    <row r="3576" spans="1:19" ht="15" hidden="1" outlineLevel="1">
      <c r="B3576" s="384">
        <v>2026</v>
      </c>
      <c r="C3576" s="384">
        <v>9</v>
      </c>
      <c r="D3576" s="367" t="s">
        <v>5</v>
      </c>
      <c r="E3576" s="367" t="s">
        <v>6</v>
      </c>
      <c r="F3576" s="389" t="s">
        <v>5743</v>
      </c>
      <c r="G3576" s="385">
        <v>46085</v>
      </c>
      <c r="H3576" s="367" t="s">
        <v>7</v>
      </c>
      <c r="I3576" s="368" t="str">
        <f>VLOOKUP(H3576,'Source Codes'!A$2:B$115,2,FALSE)</f>
        <v>HRMS Interface Journals</v>
      </c>
      <c r="J3576" s="412">
        <v>-11358922.83</v>
      </c>
      <c r="K3576" s="385">
        <v>46086</v>
      </c>
      <c r="L3576" s="369" t="s">
        <v>407</v>
      </c>
      <c r="M3576" s="390">
        <v>46086.335810185185</v>
      </c>
      <c r="N3576" s="366" t="s">
        <v>378</v>
      </c>
      <c r="O3576" s="367" t="s">
        <v>379</v>
      </c>
      <c r="P3576" s="368" t="s">
        <v>2613</v>
      </c>
      <c r="Q3576" s="366" t="s">
        <v>379</v>
      </c>
      <c r="R3576" s="366" t="s">
        <v>5750</v>
      </c>
      <c r="S3576" s="366" t="s">
        <v>203</v>
      </c>
    </row>
    <row r="3577" spans="1:19" ht="12.75" customHeight="1" collapsed="1">
      <c r="J3577" s="413">
        <f>SUM(J3570:J3576)</f>
        <v>-104505269.79999998</v>
      </c>
    </row>
    <row r="3578" spans="1:19" ht="12.75" customHeight="1">
      <c r="J3578" s="432"/>
    </row>
    <row r="3579" spans="1:19" ht="12.75" customHeight="1">
      <c r="A3579" s="378" t="s">
        <v>5751</v>
      </c>
    </row>
    <row r="3580" spans="1:19" ht="45" hidden="1" outlineLevel="1">
      <c r="B3580" s="384">
        <v>2026</v>
      </c>
      <c r="C3580" s="384">
        <v>9</v>
      </c>
      <c r="D3580" s="367" t="s">
        <v>5</v>
      </c>
      <c r="E3580" s="367" t="s">
        <v>6</v>
      </c>
      <c r="F3580" s="389" t="s">
        <v>5752</v>
      </c>
      <c r="G3580" s="385">
        <v>46091</v>
      </c>
      <c r="H3580" s="367" t="s">
        <v>14</v>
      </c>
      <c r="I3580" s="368" t="str">
        <f>VLOOKUP(H3580,'Source Codes'!A$2:B$115,2,FALSE)</f>
        <v>AP Warrant Issuance</v>
      </c>
      <c r="J3580" s="412">
        <v>-5623826.6500000004</v>
      </c>
      <c r="K3580" s="385">
        <v>46087</v>
      </c>
      <c r="L3580" s="369" t="s">
        <v>5755</v>
      </c>
      <c r="M3580" s="390">
        <v>46087.75675925926</v>
      </c>
      <c r="N3580" s="366" t="s">
        <v>359</v>
      </c>
      <c r="O3580" s="367" t="s">
        <v>364</v>
      </c>
      <c r="P3580" s="368" t="s">
        <v>2613</v>
      </c>
      <c r="Q3580" s="366" t="s">
        <v>2254</v>
      </c>
      <c r="R3580" s="365">
        <v>46082</v>
      </c>
      <c r="S3580" s="366">
        <v>530440</v>
      </c>
    </row>
    <row r="3581" spans="1:19" ht="45" hidden="1" outlineLevel="1">
      <c r="B3581" s="384">
        <v>2026</v>
      </c>
      <c r="C3581" s="384">
        <v>9</v>
      </c>
      <c r="D3581" s="367" t="s">
        <v>5</v>
      </c>
      <c r="E3581" s="367" t="s">
        <v>6</v>
      </c>
      <c r="F3581" s="389" t="s">
        <v>5753</v>
      </c>
      <c r="G3581" s="385">
        <v>46087</v>
      </c>
      <c r="H3581" s="367" t="s">
        <v>12</v>
      </c>
      <c r="I3581" s="368" t="str">
        <f>VLOOKUP(H3581,'Source Codes'!A$2:B$115,2,FALSE)</f>
        <v>AR Direct Cash Journal</v>
      </c>
      <c r="J3581" s="412">
        <v>7107559.8600000003</v>
      </c>
      <c r="K3581" s="385">
        <v>46087</v>
      </c>
      <c r="L3581" s="369" t="s">
        <v>5756</v>
      </c>
      <c r="M3581" s="390">
        <v>46087.751793981479</v>
      </c>
      <c r="N3581" s="366" t="s">
        <v>359</v>
      </c>
      <c r="O3581" s="367" t="s">
        <v>370</v>
      </c>
      <c r="P3581" s="368" t="s">
        <v>2290</v>
      </c>
      <c r="Q3581" s="366" t="s">
        <v>2264</v>
      </c>
      <c r="R3581" s="366" t="s">
        <v>2264</v>
      </c>
      <c r="S3581" s="366" t="s">
        <v>5757</v>
      </c>
    </row>
    <row r="3582" spans="1:19" ht="45" hidden="1" outlineLevel="1">
      <c r="B3582" s="384">
        <v>2026</v>
      </c>
      <c r="C3582" s="384">
        <v>9</v>
      </c>
      <c r="D3582" s="367" t="s">
        <v>5</v>
      </c>
      <c r="E3582" s="367" t="s">
        <v>6</v>
      </c>
      <c r="F3582" s="389" t="s">
        <v>5754</v>
      </c>
      <c r="G3582" s="385">
        <v>46087</v>
      </c>
      <c r="H3582" s="367" t="s">
        <v>11</v>
      </c>
      <c r="I3582" s="368" t="str">
        <f>VLOOKUP(H3582,'Source Codes'!A$2:B$115,2,FALSE)</f>
        <v>AR Payments</v>
      </c>
      <c r="J3582" s="412">
        <v>1241676.6399999999</v>
      </c>
      <c r="K3582" s="385">
        <v>46087</v>
      </c>
      <c r="L3582" s="369" t="s">
        <v>5758</v>
      </c>
      <c r="M3582" s="390">
        <v>46087.751793981479</v>
      </c>
      <c r="N3582" s="366" t="s">
        <v>359</v>
      </c>
      <c r="O3582" s="367" t="s">
        <v>357</v>
      </c>
      <c r="P3582" s="368" t="s">
        <v>2290</v>
      </c>
      <c r="Q3582" s="366" t="s">
        <v>2157</v>
      </c>
      <c r="R3582" s="366" t="s">
        <v>2157</v>
      </c>
      <c r="S3582" s="366" t="s">
        <v>2278</v>
      </c>
    </row>
    <row r="3583" spans="1:19" ht="12.75" customHeight="1" collapsed="1">
      <c r="J3583" s="413">
        <f>SUM(J3580:J3582)</f>
        <v>2725409.8499999996</v>
      </c>
    </row>
    <row r="3585" spans="1:19" ht="12.75" customHeight="1">
      <c r="A3585" s="378" t="s">
        <v>5760</v>
      </c>
    </row>
    <row r="3586" spans="1:19" ht="30" hidden="1" outlineLevel="1">
      <c r="B3586" s="384">
        <v>2026</v>
      </c>
      <c r="C3586" s="384">
        <v>9</v>
      </c>
      <c r="D3586" s="367" t="s">
        <v>5</v>
      </c>
      <c r="E3586" s="367" t="s">
        <v>6</v>
      </c>
      <c r="F3586" s="389" t="s">
        <v>5761</v>
      </c>
      <c r="G3586" s="385">
        <v>46086</v>
      </c>
      <c r="H3586" s="367" t="s">
        <v>9</v>
      </c>
      <c r="I3586" s="368" t="str">
        <f>VLOOKUP(H3586,'Source Codes'!A$2:B$115,2,FALSE)</f>
        <v>On Line Journal Entries</v>
      </c>
      <c r="J3586" s="412">
        <v>8608689</v>
      </c>
      <c r="K3586" s="385">
        <v>46090</v>
      </c>
      <c r="L3586" s="369" t="s">
        <v>344</v>
      </c>
      <c r="M3586" s="390">
        <v>46090.869652777779</v>
      </c>
      <c r="N3586" s="366" t="s">
        <v>359</v>
      </c>
      <c r="O3586" s="367" t="s">
        <v>364</v>
      </c>
      <c r="P3586" s="368" t="s">
        <v>2290</v>
      </c>
      <c r="Q3586" s="366" t="s">
        <v>2232</v>
      </c>
      <c r="R3586" s="366" t="s">
        <v>2232</v>
      </c>
      <c r="S3586" s="366" t="s">
        <v>2533</v>
      </c>
    </row>
    <row r="3587" spans="1:19" ht="30" hidden="1" outlineLevel="1">
      <c r="B3587" s="384">
        <v>2026</v>
      </c>
      <c r="C3587" s="384">
        <v>9</v>
      </c>
      <c r="D3587" s="367" t="s">
        <v>5</v>
      </c>
      <c r="E3587" s="367" t="s">
        <v>6</v>
      </c>
      <c r="F3587" s="389" t="s">
        <v>5762</v>
      </c>
      <c r="G3587" s="385">
        <v>46086</v>
      </c>
      <c r="H3587" s="367" t="s">
        <v>9</v>
      </c>
      <c r="I3587" s="368" t="str">
        <f>VLOOKUP(H3587,'Source Codes'!A$2:B$115,2,FALSE)</f>
        <v>On Line Journal Entries</v>
      </c>
      <c r="J3587" s="412">
        <v>2684832</v>
      </c>
      <c r="K3587" s="385">
        <v>46090</v>
      </c>
      <c r="L3587" s="369" t="s">
        <v>344</v>
      </c>
      <c r="M3587" s="390">
        <v>46090.869652777779</v>
      </c>
      <c r="N3587" s="366" t="s">
        <v>359</v>
      </c>
      <c r="O3587" s="367" t="s">
        <v>364</v>
      </c>
      <c r="P3587" s="368" t="s">
        <v>2290</v>
      </c>
      <c r="Q3587" s="366" t="s">
        <v>2232</v>
      </c>
      <c r="R3587" s="366" t="s">
        <v>2232</v>
      </c>
      <c r="S3587" s="366" t="s">
        <v>2533</v>
      </c>
    </row>
    <row r="3588" spans="1:19" ht="15" hidden="1" outlineLevel="1">
      <c r="B3588" s="384">
        <v>2026</v>
      </c>
      <c r="C3588" s="384">
        <v>9</v>
      </c>
      <c r="D3588" s="367" t="s">
        <v>5</v>
      </c>
      <c r="E3588" s="367" t="s">
        <v>6</v>
      </c>
      <c r="F3588" s="389" t="s">
        <v>5763</v>
      </c>
      <c r="G3588" s="385">
        <v>46083</v>
      </c>
      <c r="H3588" s="367" t="s">
        <v>13</v>
      </c>
      <c r="I3588" s="368" t="str">
        <f>VLOOKUP(H3588,'Source Codes'!A$2:B$115,2,FALSE)</f>
        <v>C-IV Voucher/Payments/EBT</v>
      </c>
      <c r="J3588" s="412">
        <v>-10162971.25</v>
      </c>
      <c r="K3588" s="385">
        <v>46090</v>
      </c>
      <c r="L3588" s="369" t="s">
        <v>5764</v>
      </c>
      <c r="M3588" s="390">
        <v>46090.869652777779</v>
      </c>
      <c r="N3588" s="368" t="s">
        <v>359</v>
      </c>
      <c r="O3588" s="368" t="s">
        <v>364</v>
      </c>
      <c r="P3588" s="368" t="str">
        <f t="shared" ref="P3588" si="136">IF(J3588&gt;0,"Revenue",IF(J3588&lt;0,"Expense"))</f>
        <v>Expense</v>
      </c>
      <c r="Q3588" s="366" t="s">
        <v>2204</v>
      </c>
      <c r="R3588" s="365">
        <v>46082</v>
      </c>
      <c r="S3588" s="366">
        <v>530480</v>
      </c>
    </row>
    <row r="3589" spans="1:19" ht="12.75" customHeight="1" collapsed="1">
      <c r="J3589" s="413">
        <f>SUM(J3586:J3588)</f>
        <v>1130549.75</v>
      </c>
    </row>
    <row r="3591" spans="1:19" ht="12.75" customHeight="1">
      <c r="A3591" s="378" t="s">
        <v>5765</v>
      </c>
    </row>
    <row r="3592" spans="1:19" ht="75" hidden="1" outlineLevel="1">
      <c r="B3592" s="384">
        <v>2026</v>
      </c>
      <c r="C3592" s="384">
        <v>9</v>
      </c>
      <c r="D3592" s="367" t="s">
        <v>5</v>
      </c>
      <c r="E3592" s="367" t="s">
        <v>6</v>
      </c>
      <c r="F3592" s="389" t="s">
        <v>5766</v>
      </c>
      <c r="G3592" s="385">
        <v>46085</v>
      </c>
      <c r="H3592" s="367" t="s">
        <v>12</v>
      </c>
      <c r="I3592" s="368" t="str">
        <f>VLOOKUP(H3592,'Source Codes'!A$2:B$115,2,FALSE)</f>
        <v>AR Direct Cash Journal</v>
      </c>
      <c r="J3592" s="412">
        <v>1138811.17</v>
      </c>
      <c r="K3592" s="385">
        <v>46091</v>
      </c>
      <c r="L3592" s="369" t="s">
        <v>5769</v>
      </c>
      <c r="M3592" s="390">
        <v>46091.751944444448</v>
      </c>
      <c r="N3592" s="366" t="s">
        <v>359</v>
      </c>
      <c r="O3592" s="367" t="s">
        <v>370</v>
      </c>
      <c r="P3592" s="368" t="s">
        <v>2290</v>
      </c>
      <c r="Q3592" s="366" t="s">
        <v>2264</v>
      </c>
      <c r="R3592" s="366" t="s">
        <v>2264</v>
      </c>
      <c r="S3592" s="366" t="s">
        <v>5768</v>
      </c>
    </row>
    <row r="3593" spans="1:19" ht="12.75" hidden="1" customHeight="1" outlineLevel="1">
      <c r="B3593" s="384">
        <v>2026</v>
      </c>
      <c r="C3593" s="384">
        <v>9</v>
      </c>
      <c r="D3593" s="367" t="s">
        <v>5</v>
      </c>
      <c r="E3593" s="367" t="s">
        <v>6</v>
      </c>
      <c r="F3593" s="389" t="s">
        <v>5767</v>
      </c>
      <c r="G3593" s="385">
        <v>46085</v>
      </c>
      <c r="H3593" s="367" t="s">
        <v>7</v>
      </c>
      <c r="I3593" s="368" t="str">
        <f>VLOOKUP(H3593,'Source Codes'!A$2:B$115,2,FALSE)</f>
        <v>HRMS Interface Journals</v>
      </c>
      <c r="J3593" s="412">
        <v>-78340905.510000005</v>
      </c>
      <c r="K3593" s="385">
        <v>46091</v>
      </c>
      <c r="L3593" s="369" t="s">
        <v>406</v>
      </c>
      <c r="M3593" s="390">
        <v>46091.294062499997</v>
      </c>
      <c r="N3593" s="366" t="s">
        <v>378</v>
      </c>
      <c r="O3593" s="367" t="s">
        <v>371</v>
      </c>
      <c r="P3593" s="368" t="s">
        <v>2613</v>
      </c>
      <c r="Q3593" s="366" t="s">
        <v>379</v>
      </c>
      <c r="R3593" s="366" t="s">
        <v>5750</v>
      </c>
      <c r="S3593" s="366" t="s">
        <v>203</v>
      </c>
    </row>
    <row r="3594" spans="1:19" ht="12.75" customHeight="1" collapsed="1">
      <c r="J3594" s="413">
        <f>SUM(J3592:J3593)</f>
        <v>-77202094.340000004</v>
      </c>
    </row>
    <row r="3596" spans="1:19" ht="12.75" customHeight="1">
      <c r="A3596" s="378" t="s">
        <v>5785</v>
      </c>
    </row>
    <row r="3597" spans="1:19" ht="30" hidden="1" outlineLevel="1">
      <c r="B3597" s="384">
        <v>2026</v>
      </c>
      <c r="C3597" s="384">
        <v>9</v>
      </c>
      <c r="D3597" s="367" t="s">
        <v>5</v>
      </c>
      <c r="E3597" s="367" t="s">
        <v>6</v>
      </c>
      <c r="F3597" s="389" t="s">
        <v>5770</v>
      </c>
      <c r="G3597" s="385">
        <v>46094</v>
      </c>
      <c r="H3597" s="367" t="s">
        <v>14</v>
      </c>
      <c r="I3597" s="368" t="str">
        <f>VLOOKUP(H3597,'Source Codes'!A$2:B$115,2,FALSE)</f>
        <v>AP Warrant Issuance</v>
      </c>
      <c r="J3597" s="412">
        <v>-1726035.73</v>
      </c>
      <c r="K3597" s="385">
        <v>46092</v>
      </c>
      <c r="L3597" s="369" t="s">
        <v>5780</v>
      </c>
      <c r="M3597" s="390">
        <v>46092.758611111109</v>
      </c>
      <c r="N3597" s="366" t="s">
        <v>356</v>
      </c>
      <c r="O3597" s="367" t="s">
        <v>368</v>
      </c>
      <c r="P3597" s="368" t="s">
        <v>2613</v>
      </c>
      <c r="Q3597" s="366" t="s">
        <v>2154</v>
      </c>
      <c r="R3597" s="366" t="s">
        <v>2154</v>
      </c>
      <c r="S3597" s="366" t="s">
        <v>203</v>
      </c>
    </row>
    <row r="3598" spans="1:19" ht="30" hidden="1" outlineLevel="1">
      <c r="B3598" s="384">
        <v>2026</v>
      </c>
      <c r="C3598" s="384">
        <v>9</v>
      </c>
      <c r="D3598" s="367" t="s">
        <v>5</v>
      </c>
      <c r="E3598" s="367" t="s">
        <v>6</v>
      </c>
      <c r="F3598" s="389" t="s">
        <v>5771</v>
      </c>
      <c r="G3598" s="385">
        <v>46092</v>
      </c>
      <c r="H3598" s="367" t="s">
        <v>14</v>
      </c>
      <c r="I3598" s="368" t="str">
        <f>VLOOKUP(H3598,'Source Codes'!A$2:B$115,2,FALSE)</f>
        <v>AP Warrant Issuance</v>
      </c>
      <c r="J3598" s="412">
        <v>-1667054.29</v>
      </c>
      <c r="K3598" s="385">
        <v>46092</v>
      </c>
      <c r="L3598" s="369" t="s">
        <v>5781</v>
      </c>
      <c r="M3598" s="390">
        <v>46092.758611111109</v>
      </c>
      <c r="N3598" s="366" t="s">
        <v>356</v>
      </c>
      <c r="O3598" s="367" t="s">
        <v>368</v>
      </c>
      <c r="P3598" s="368" t="s">
        <v>2613</v>
      </c>
      <c r="Q3598" s="366" t="s">
        <v>2154</v>
      </c>
      <c r="R3598" s="366" t="s">
        <v>2154</v>
      </c>
      <c r="S3598" s="366" t="s">
        <v>203</v>
      </c>
    </row>
    <row r="3599" spans="1:19" ht="30" hidden="1" outlineLevel="1">
      <c r="B3599" s="384">
        <v>2026</v>
      </c>
      <c r="C3599" s="384">
        <v>9</v>
      </c>
      <c r="D3599" s="367" t="s">
        <v>5</v>
      </c>
      <c r="E3599" s="367" t="s">
        <v>6</v>
      </c>
      <c r="F3599" s="389" t="s">
        <v>5772</v>
      </c>
      <c r="G3599" s="385">
        <v>46090</v>
      </c>
      <c r="H3599" s="367" t="s">
        <v>16</v>
      </c>
      <c r="I3599" s="368" t="str">
        <f>VLOOKUP(H3599,'Source Codes'!A$2:B$115,2,FALSE)</f>
        <v>Property Tax Interface</v>
      </c>
      <c r="J3599" s="412">
        <v>3112577.99</v>
      </c>
      <c r="K3599" s="385">
        <v>46092</v>
      </c>
      <c r="L3599" s="369" t="s">
        <v>5776</v>
      </c>
      <c r="M3599" s="390">
        <v>46092.326273148145</v>
      </c>
      <c r="N3599" s="368" t="s">
        <v>2185</v>
      </c>
      <c r="O3599" s="368" t="s">
        <v>384</v>
      </c>
      <c r="P3599" s="368" t="s">
        <v>2290</v>
      </c>
      <c r="Q3599" s="366" t="s">
        <v>2946</v>
      </c>
      <c r="R3599" s="365" t="s">
        <v>5224</v>
      </c>
      <c r="S3599" s="366" t="s">
        <v>2460</v>
      </c>
    </row>
    <row r="3600" spans="1:19" ht="15" hidden="1" outlineLevel="1">
      <c r="B3600" s="384">
        <v>2026</v>
      </c>
      <c r="C3600" s="384">
        <v>9</v>
      </c>
      <c r="D3600" s="367" t="s">
        <v>5</v>
      </c>
      <c r="E3600" s="367" t="s">
        <v>6</v>
      </c>
      <c r="F3600" s="389" t="s">
        <v>5773</v>
      </c>
      <c r="G3600" s="385">
        <v>46086</v>
      </c>
      <c r="H3600" s="367" t="s">
        <v>337</v>
      </c>
      <c r="I3600" s="368" t="str">
        <f>VLOOKUP(H3600,'Source Codes'!A$2:B$115,2,FALSE)</f>
        <v>Facilities Mngmnt Intfc Jrnls</v>
      </c>
      <c r="J3600" s="412">
        <v>-1174682.03</v>
      </c>
      <c r="K3600" s="385">
        <v>46092</v>
      </c>
      <c r="L3600" s="369" t="s">
        <v>5777</v>
      </c>
      <c r="M3600" s="390">
        <v>46092.373171296298</v>
      </c>
      <c r="N3600" s="366" t="s">
        <v>356</v>
      </c>
      <c r="O3600" s="367" t="s">
        <v>367</v>
      </c>
      <c r="P3600" s="368" t="s">
        <v>2613</v>
      </c>
      <c r="Q3600" s="366" t="s">
        <v>2337</v>
      </c>
      <c r="R3600" s="366" t="s">
        <v>5782</v>
      </c>
      <c r="S3600" s="366">
        <v>522365</v>
      </c>
    </row>
    <row r="3601" spans="1:20" ht="15" hidden="1" outlineLevel="1">
      <c r="B3601" s="384">
        <v>2026</v>
      </c>
      <c r="C3601" s="384">
        <v>9</v>
      </c>
      <c r="D3601" s="367" t="s">
        <v>5</v>
      </c>
      <c r="E3601" s="367" t="s">
        <v>6</v>
      </c>
      <c r="F3601" s="389" t="s">
        <v>5774</v>
      </c>
      <c r="G3601" s="385">
        <v>46086</v>
      </c>
      <c r="H3601" s="367" t="s">
        <v>337</v>
      </c>
      <c r="I3601" s="368" t="str">
        <f>VLOOKUP(H3601,'Source Codes'!A$2:B$115,2,FALSE)</f>
        <v>Facilities Mngmnt Intfc Jrnls</v>
      </c>
      <c r="J3601" s="412">
        <v>-2706598.43</v>
      </c>
      <c r="K3601" s="385">
        <v>46092</v>
      </c>
      <c r="L3601" s="369" t="s">
        <v>5778</v>
      </c>
      <c r="M3601" s="390">
        <v>46092.375277777777</v>
      </c>
      <c r="N3601" s="366" t="s">
        <v>356</v>
      </c>
      <c r="O3601" s="367" t="s">
        <v>367</v>
      </c>
      <c r="P3601" s="368" t="s">
        <v>2613</v>
      </c>
      <c r="Q3601" s="366" t="s">
        <v>2337</v>
      </c>
      <c r="R3601" s="366" t="s">
        <v>5783</v>
      </c>
      <c r="S3601" s="366">
        <v>522385</v>
      </c>
      <c r="T3601" s="366"/>
    </row>
    <row r="3602" spans="1:20" ht="30" hidden="1" outlineLevel="1">
      <c r="B3602" s="384">
        <v>2026</v>
      </c>
      <c r="C3602" s="384">
        <v>9</v>
      </c>
      <c r="D3602" s="367" t="s">
        <v>5</v>
      </c>
      <c r="E3602" s="367" t="s">
        <v>6</v>
      </c>
      <c r="F3602" s="389" t="s">
        <v>5775</v>
      </c>
      <c r="G3602" s="385">
        <v>46082</v>
      </c>
      <c r="H3602" s="367" t="s">
        <v>9</v>
      </c>
      <c r="I3602" s="368" t="str">
        <f>VLOOKUP(H3602,'Source Codes'!A$2:B$115,2,FALSE)</f>
        <v>On Line Journal Entries</v>
      </c>
      <c r="J3602" s="412">
        <v>-5535427.9900000002</v>
      </c>
      <c r="K3602" s="385">
        <v>46092</v>
      </c>
      <c r="L3602" s="369" t="s">
        <v>5779</v>
      </c>
      <c r="M3602" s="390">
        <v>46092.51803240741</v>
      </c>
      <c r="N3602" s="366" t="s">
        <v>356</v>
      </c>
      <c r="O3602" s="367" t="s">
        <v>374</v>
      </c>
      <c r="P3602" s="368" t="s">
        <v>2613</v>
      </c>
      <c r="Q3602" s="366" t="s">
        <v>2202</v>
      </c>
      <c r="R3602" s="366" t="s">
        <v>5784</v>
      </c>
      <c r="S3602" s="366">
        <v>525840</v>
      </c>
    </row>
    <row r="3603" spans="1:20" ht="15" collapsed="1">
      <c r="J3603" s="413">
        <f>SUM(J3597:J3602)</f>
        <v>-9697220.4800000004</v>
      </c>
    </row>
    <row r="3605" spans="1:20" ht="12.75" customHeight="1">
      <c r="A3605" s="378" t="s">
        <v>5786</v>
      </c>
    </row>
    <row r="3606" spans="1:20" ht="45" hidden="1" outlineLevel="1">
      <c r="B3606" s="384">
        <v>2026</v>
      </c>
      <c r="C3606" s="384">
        <v>9</v>
      </c>
      <c r="D3606" s="367" t="s">
        <v>5</v>
      </c>
      <c r="E3606" s="367" t="s">
        <v>6</v>
      </c>
      <c r="F3606" s="389" t="s">
        <v>5787</v>
      </c>
      <c r="G3606" s="385">
        <v>46092</v>
      </c>
      <c r="H3606" s="367" t="s">
        <v>11</v>
      </c>
      <c r="I3606" s="368" t="str">
        <f>VLOOKUP(H3606,'[4]Source Codes'!A$2:B$115,2,FALSE)</f>
        <v>AR Payments</v>
      </c>
      <c r="J3606" s="412">
        <v>1983477.31</v>
      </c>
      <c r="K3606" s="385">
        <v>46093</v>
      </c>
      <c r="L3606" s="369" t="s">
        <v>5788</v>
      </c>
      <c r="M3606" s="390">
        <v>46093.752175925925</v>
      </c>
      <c r="N3606" s="366" t="s">
        <v>359</v>
      </c>
      <c r="O3606" s="367" t="s">
        <v>357</v>
      </c>
      <c r="P3606" s="367" t="str">
        <f t="shared" ref="P3606:P3607" si="137">IF(J3606&gt;0,"Revenue",IF(J3606&lt;0,"Expense"))</f>
        <v>Revenue</v>
      </c>
      <c r="Q3606" s="366" t="s">
        <v>2157</v>
      </c>
      <c r="R3606" s="366" t="s">
        <v>2157</v>
      </c>
      <c r="S3606" s="366" t="s">
        <v>2278</v>
      </c>
    </row>
    <row r="3607" spans="1:20" ht="30" hidden="1" outlineLevel="1">
      <c r="B3607" s="384">
        <v>2026</v>
      </c>
      <c r="C3607" s="384">
        <v>9</v>
      </c>
      <c r="D3607" s="367" t="s">
        <v>5</v>
      </c>
      <c r="E3607" s="367" t="s">
        <v>6</v>
      </c>
      <c r="F3607" s="389" t="s">
        <v>5789</v>
      </c>
      <c r="G3607" s="385">
        <v>46087</v>
      </c>
      <c r="H3607" s="367" t="s">
        <v>11</v>
      </c>
      <c r="I3607" s="368" t="str">
        <f>VLOOKUP(H3607,'[4]Source Codes'!A$2:B$115,2,FALSE)</f>
        <v>AR Payments</v>
      </c>
      <c r="J3607" s="412">
        <v>3852306.44</v>
      </c>
      <c r="K3607" s="385">
        <v>46093</v>
      </c>
      <c r="L3607" s="369" t="s">
        <v>5790</v>
      </c>
      <c r="M3607" s="390">
        <v>46093.752175925925</v>
      </c>
      <c r="N3607" s="366" t="s">
        <v>356</v>
      </c>
      <c r="O3607" s="367" t="s">
        <v>362</v>
      </c>
      <c r="P3607" s="367" t="str">
        <f t="shared" si="137"/>
        <v>Revenue</v>
      </c>
      <c r="Q3607" s="366" t="s">
        <v>2360</v>
      </c>
      <c r="R3607" s="366" t="s">
        <v>3049</v>
      </c>
      <c r="S3607" s="366">
        <v>118401</v>
      </c>
    </row>
    <row r="3608" spans="1:20" ht="15" collapsed="1">
      <c r="J3608" s="413">
        <f>SUM(J3606:J3607)</f>
        <v>5835783.75</v>
      </c>
    </row>
    <row r="3610" spans="1:20" ht="12.75" customHeight="1">
      <c r="A3610" s="378" t="s">
        <v>5791</v>
      </c>
    </row>
    <row r="3611" spans="1:20" ht="60" hidden="1" outlineLevel="1">
      <c r="B3611" s="384">
        <v>2026</v>
      </c>
      <c r="C3611" s="384">
        <v>9</v>
      </c>
      <c r="D3611" s="367" t="s">
        <v>5</v>
      </c>
      <c r="E3611" s="367" t="s">
        <v>6</v>
      </c>
      <c r="F3611" s="389" t="s">
        <v>5792</v>
      </c>
      <c r="G3611" s="385">
        <v>46097</v>
      </c>
      <c r="H3611" s="367" t="s">
        <v>14</v>
      </c>
      <c r="I3611" s="368" t="str">
        <f>VLOOKUP(H3611,'[4]Source Codes'!A$2:B$115,2,FALSE)</f>
        <v>AP Warrant Issuance</v>
      </c>
      <c r="J3611" s="412">
        <v>-72490990.430000007</v>
      </c>
      <c r="K3611" s="385">
        <v>46097</v>
      </c>
      <c r="L3611" s="369" t="s">
        <v>5807</v>
      </c>
      <c r="M3611" s="390">
        <v>46097.758067129631</v>
      </c>
      <c r="N3611" s="368" t="s">
        <v>361</v>
      </c>
      <c r="O3611" s="368" t="s">
        <v>370</v>
      </c>
      <c r="P3611" s="367" t="str">
        <f t="shared" ref="P3611:P3621" si="138">IF(J3611&gt;0,"Revenue",IF(J3611&lt;0,"Expense"))</f>
        <v>Expense</v>
      </c>
      <c r="Q3611" s="366" t="s">
        <v>2975</v>
      </c>
      <c r="R3611" s="366" t="s">
        <v>5806</v>
      </c>
      <c r="S3611" s="366">
        <v>525440</v>
      </c>
    </row>
    <row r="3612" spans="1:20" ht="60" hidden="1" outlineLevel="1">
      <c r="B3612" s="384">
        <v>2026</v>
      </c>
      <c r="C3612" s="384">
        <v>9</v>
      </c>
      <c r="D3612" s="367" t="s">
        <v>5</v>
      </c>
      <c r="E3612" s="367" t="s">
        <v>6</v>
      </c>
      <c r="F3612" s="389" t="s">
        <v>5793</v>
      </c>
      <c r="G3612" s="385">
        <v>46097</v>
      </c>
      <c r="H3612" s="367" t="s">
        <v>14</v>
      </c>
      <c r="I3612" s="368" t="str">
        <f>VLOOKUP(H3612,'[4]Source Codes'!A$2:B$115,2,FALSE)</f>
        <v>AP Warrant Issuance</v>
      </c>
      <c r="J3612" s="412">
        <v>-6913678.46</v>
      </c>
      <c r="K3612" s="385">
        <v>46097</v>
      </c>
      <c r="L3612" s="369" t="s">
        <v>5809</v>
      </c>
      <c r="M3612" s="390">
        <v>46097.758067129631</v>
      </c>
      <c r="N3612" s="366" t="s">
        <v>361</v>
      </c>
      <c r="O3612" s="367" t="s">
        <v>358</v>
      </c>
      <c r="P3612" s="367" t="str">
        <f t="shared" si="138"/>
        <v>Expense</v>
      </c>
      <c r="Q3612" s="366" t="s">
        <v>2325</v>
      </c>
      <c r="R3612" s="366" t="s">
        <v>5808</v>
      </c>
      <c r="S3612" s="366">
        <v>536200</v>
      </c>
    </row>
    <row r="3613" spans="1:20" ht="30" hidden="1" outlineLevel="1">
      <c r="B3613" s="384">
        <v>2026</v>
      </c>
      <c r="C3613" s="384">
        <v>9</v>
      </c>
      <c r="D3613" s="367" t="s">
        <v>5</v>
      </c>
      <c r="E3613" s="367" t="s">
        <v>6</v>
      </c>
      <c r="F3613" s="389" t="s">
        <v>5794</v>
      </c>
      <c r="G3613" s="385">
        <v>46097</v>
      </c>
      <c r="H3613" s="367" t="s">
        <v>14</v>
      </c>
      <c r="I3613" s="368" t="str">
        <f>VLOOKUP(H3613,'[4]Source Codes'!A$2:B$115,2,FALSE)</f>
        <v>AP Warrant Issuance</v>
      </c>
      <c r="J3613" s="412">
        <v>-1072039.6299999999</v>
      </c>
      <c r="K3613" s="385">
        <v>46097</v>
      </c>
      <c r="L3613" s="369" t="s">
        <v>5810</v>
      </c>
      <c r="M3613" s="390">
        <v>46097.758067129631</v>
      </c>
      <c r="N3613" s="366" t="s">
        <v>356</v>
      </c>
      <c r="O3613" s="367" t="s">
        <v>364</v>
      </c>
      <c r="P3613" s="367" t="str">
        <f t="shared" si="138"/>
        <v>Expense</v>
      </c>
      <c r="Q3613" s="366" t="s">
        <v>2344</v>
      </c>
      <c r="R3613" s="366" t="s">
        <v>2344</v>
      </c>
      <c r="S3613" s="366" t="s">
        <v>203</v>
      </c>
    </row>
    <row r="3614" spans="1:20" ht="75" hidden="1" outlineLevel="1">
      <c r="B3614" s="384">
        <v>2026</v>
      </c>
      <c r="C3614" s="384">
        <v>9</v>
      </c>
      <c r="D3614" s="367" t="s">
        <v>5</v>
      </c>
      <c r="E3614" s="367" t="s">
        <v>6</v>
      </c>
      <c r="F3614" s="389" t="s">
        <v>5795</v>
      </c>
      <c r="G3614" s="385">
        <v>46093</v>
      </c>
      <c r="H3614" s="367" t="s">
        <v>12</v>
      </c>
      <c r="I3614" s="368" t="str">
        <f>VLOOKUP(H3614,'[4]Source Codes'!A$2:B$115,2,FALSE)</f>
        <v>AR Direct Cash Journal</v>
      </c>
      <c r="J3614" s="412">
        <v>2851006.17</v>
      </c>
      <c r="K3614" s="385">
        <v>46097</v>
      </c>
      <c r="L3614" s="369" t="s">
        <v>5812</v>
      </c>
      <c r="M3614" s="390">
        <v>46097.752118055556</v>
      </c>
      <c r="N3614" s="366" t="s">
        <v>356</v>
      </c>
      <c r="O3614" s="367" t="s">
        <v>370</v>
      </c>
      <c r="P3614" s="367" t="str">
        <f t="shared" si="138"/>
        <v>Revenue</v>
      </c>
      <c r="Q3614" s="366" t="s">
        <v>2264</v>
      </c>
      <c r="R3614" s="366" t="s">
        <v>2264</v>
      </c>
      <c r="S3614" s="366" t="s">
        <v>5811</v>
      </c>
    </row>
    <row r="3615" spans="1:20" ht="30" hidden="1" outlineLevel="1">
      <c r="B3615" s="384">
        <v>2026</v>
      </c>
      <c r="C3615" s="384">
        <v>9</v>
      </c>
      <c r="D3615" s="367" t="s">
        <v>5</v>
      </c>
      <c r="E3615" s="367" t="s">
        <v>6</v>
      </c>
      <c r="F3615" s="389" t="s">
        <v>5796</v>
      </c>
      <c r="G3615" s="385">
        <v>46090</v>
      </c>
      <c r="H3615" s="367" t="s">
        <v>11</v>
      </c>
      <c r="I3615" s="368" t="str">
        <f>VLOOKUP(H3615,'[4]Source Codes'!A$2:B$115,2,FALSE)</f>
        <v>AR Payments</v>
      </c>
      <c r="J3615" s="412">
        <v>1688489.03</v>
      </c>
      <c r="K3615" s="385">
        <v>46097</v>
      </c>
      <c r="L3615" s="369" t="s">
        <v>5813</v>
      </c>
      <c r="M3615" s="390">
        <v>46097.752118055556</v>
      </c>
      <c r="N3615" s="366" t="s">
        <v>359</v>
      </c>
      <c r="O3615" s="367" t="s">
        <v>357</v>
      </c>
      <c r="P3615" s="367" t="str">
        <f t="shared" si="138"/>
        <v>Revenue</v>
      </c>
      <c r="Q3615" s="366" t="s">
        <v>2157</v>
      </c>
      <c r="R3615" s="366" t="s">
        <v>2157</v>
      </c>
      <c r="S3615" s="366" t="s">
        <v>3159</v>
      </c>
    </row>
    <row r="3616" spans="1:20" ht="30" hidden="1" outlineLevel="1">
      <c r="B3616" s="384">
        <v>2026</v>
      </c>
      <c r="C3616" s="384">
        <v>9</v>
      </c>
      <c r="D3616" s="367" t="s">
        <v>5</v>
      </c>
      <c r="E3616" s="367" t="s">
        <v>6</v>
      </c>
      <c r="F3616" s="389" t="s">
        <v>5797</v>
      </c>
      <c r="G3616" s="385">
        <v>46097</v>
      </c>
      <c r="H3616" s="367" t="s">
        <v>11</v>
      </c>
      <c r="I3616" s="368" t="str">
        <f>VLOOKUP(H3616,'[4]Source Codes'!A$2:B$115,2,FALSE)</f>
        <v>AR Payments</v>
      </c>
      <c r="J3616" s="412">
        <v>3656756.03</v>
      </c>
      <c r="K3616" s="385">
        <v>46097</v>
      </c>
      <c r="L3616" s="369" t="s">
        <v>5395</v>
      </c>
      <c r="M3616" s="390">
        <v>46097.752118055556</v>
      </c>
      <c r="N3616" s="366" t="s">
        <v>359</v>
      </c>
      <c r="O3616" s="367" t="s">
        <v>357</v>
      </c>
      <c r="P3616" s="367" t="str">
        <f t="shared" si="138"/>
        <v>Revenue</v>
      </c>
      <c r="Q3616" s="366" t="s">
        <v>2157</v>
      </c>
      <c r="R3616" s="366" t="s">
        <v>2157</v>
      </c>
      <c r="S3616" s="366">
        <v>118501</v>
      </c>
    </row>
    <row r="3617" spans="1:19" ht="30" hidden="1" outlineLevel="1">
      <c r="B3617" s="384">
        <v>2026</v>
      </c>
      <c r="C3617" s="384">
        <v>9</v>
      </c>
      <c r="D3617" s="367" t="s">
        <v>5</v>
      </c>
      <c r="E3617" s="367" t="s">
        <v>6</v>
      </c>
      <c r="F3617" s="389" t="s">
        <v>5798</v>
      </c>
      <c r="G3617" s="385">
        <v>46083</v>
      </c>
      <c r="H3617" s="367" t="s">
        <v>9</v>
      </c>
      <c r="I3617" s="368" t="str">
        <f>VLOOKUP(H3617,'[4]Source Codes'!A$2:B$115,2,FALSE)</f>
        <v>On Line Journal Entries</v>
      </c>
      <c r="J3617" s="412">
        <v>49847082.960000001</v>
      </c>
      <c r="K3617" s="385">
        <v>46097</v>
      </c>
      <c r="L3617" s="369" t="s">
        <v>5803</v>
      </c>
      <c r="M3617" s="390">
        <v>46097.869837962964</v>
      </c>
      <c r="N3617" s="368" t="s">
        <v>377</v>
      </c>
      <c r="O3617" s="367" t="s">
        <v>370</v>
      </c>
      <c r="P3617" s="367" t="str">
        <f t="shared" si="138"/>
        <v>Revenue</v>
      </c>
      <c r="Q3617" s="366" t="s">
        <v>2619</v>
      </c>
      <c r="R3617" s="365" t="s">
        <v>5814</v>
      </c>
      <c r="S3617" s="366">
        <v>778120</v>
      </c>
    </row>
    <row r="3618" spans="1:19" ht="45" hidden="1" outlineLevel="1">
      <c r="B3618" s="384">
        <v>2026</v>
      </c>
      <c r="C3618" s="384">
        <v>9</v>
      </c>
      <c r="D3618" s="367" t="s">
        <v>5</v>
      </c>
      <c r="E3618" s="367" t="s">
        <v>6</v>
      </c>
      <c r="F3618" s="389" t="s">
        <v>5799</v>
      </c>
      <c r="G3618" s="385">
        <v>46082</v>
      </c>
      <c r="H3618" s="367" t="s">
        <v>9</v>
      </c>
      <c r="I3618" s="368" t="str">
        <f>VLOOKUP(H3618,'[4]Source Codes'!A$2:B$115,2,FALSE)</f>
        <v>On Line Journal Entries</v>
      </c>
      <c r="J3618" s="412">
        <v>29344242</v>
      </c>
      <c r="K3618" s="385">
        <v>46097</v>
      </c>
      <c r="L3618" s="369" t="s">
        <v>396</v>
      </c>
      <c r="M3618" s="390">
        <v>46097.869837962964</v>
      </c>
      <c r="N3618" s="368" t="s">
        <v>359</v>
      </c>
      <c r="O3618" s="367" t="s">
        <v>364</v>
      </c>
      <c r="P3618" s="367" t="str">
        <f t="shared" si="138"/>
        <v>Revenue</v>
      </c>
      <c r="Q3618" s="366" t="s">
        <v>2232</v>
      </c>
      <c r="R3618" s="365" t="s">
        <v>2232</v>
      </c>
      <c r="S3618" s="366" t="s">
        <v>5500</v>
      </c>
    </row>
    <row r="3619" spans="1:19" ht="30" hidden="1" outlineLevel="1">
      <c r="B3619" s="384">
        <v>2026</v>
      </c>
      <c r="C3619" s="384">
        <v>9</v>
      </c>
      <c r="D3619" s="367" t="s">
        <v>5</v>
      </c>
      <c r="E3619" s="367" t="s">
        <v>6</v>
      </c>
      <c r="F3619" s="389" t="s">
        <v>5800</v>
      </c>
      <c r="G3619" s="385">
        <v>46086</v>
      </c>
      <c r="H3619" s="367" t="s">
        <v>9</v>
      </c>
      <c r="I3619" s="368" t="str">
        <f>VLOOKUP(H3619,'[4]Source Codes'!A$2:B$115,2,FALSE)</f>
        <v>On Line Journal Entries</v>
      </c>
      <c r="J3619" s="412">
        <v>10809720.140000001</v>
      </c>
      <c r="K3619" s="385">
        <v>46097</v>
      </c>
      <c r="L3619" s="369" t="s">
        <v>344</v>
      </c>
      <c r="M3619" s="390">
        <v>46097.869837962964</v>
      </c>
      <c r="N3619" s="368" t="s">
        <v>359</v>
      </c>
      <c r="O3619" s="367" t="s">
        <v>364</v>
      </c>
      <c r="P3619" s="367" t="str">
        <f t="shared" si="138"/>
        <v>Revenue</v>
      </c>
      <c r="Q3619" s="366" t="s">
        <v>2232</v>
      </c>
      <c r="R3619" s="366" t="s">
        <v>2232</v>
      </c>
      <c r="S3619" s="366" t="s">
        <v>2532</v>
      </c>
    </row>
    <row r="3620" spans="1:19" ht="30" hidden="1" outlineLevel="1">
      <c r="B3620" s="384">
        <v>2026</v>
      </c>
      <c r="C3620" s="384">
        <v>9</v>
      </c>
      <c r="D3620" s="367" t="s">
        <v>5</v>
      </c>
      <c r="E3620" s="367" t="s">
        <v>6</v>
      </c>
      <c r="F3620" s="389" t="s">
        <v>5801</v>
      </c>
      <c r="G3620" s="385">
        <v>46091</v>
      </c>
      <c r="H3620" s="367" t="s">
        <v>9</v>
      </c>
      <c r="I3620" s="368" t="str">
        <f>VLOOKUP(H3620,'[4]Source Codes'!A$2:B$115,2,FALSE)</f>
        <v>On Line Journal Entries</v>
      </c>
      <c r="J3620" s="412">
        <v>5722805</v>
      </c>
      <c r="K3620" s="385">
        <v>46097</v>
      </c>
      <c r="L3620" s="369" t="s">
        <v>5804</v>
      </c>
      <c r="M3620" s="390">
        <v>46097.869837962964</v>
      </c>
      <c r="N3620" s="366" t="s">
        <v>359</v>
      </c>
      <c r="O3620" s="367" t="s">
        <v>369</v>
      </c>
      <c r="P3620" s="367" t="str">
        <f t="shared" si="138"/>
        <v>Revenue</v>
      </c>
      <c r="Q3620" s="366" t="s">
        <v>2268</v>
      </c>
      <c r="R3620" s="393">
        <v>46082</v>
      </c>
      <c r="S3620" s="366" t="s">
        <v>4726</v>
      </c>
    </row>
    <row r="3621" spans="1:19" ht="45" hidden="1" outlineLevel="1">
      <c r="B3621" s="384">
        <v>2026</v>
      </c>
      <c r="C3621" s="384">
        <v>9</v>
      </c>
      <c r="D3621" s="367" t="s">
        <v>5</v>
      </c>
      <c r="E3621" s="367" t="s">
        <v>6</v>
      </c>
      <c r="F3621" s="389" t="s">
        <v>5802</v>
      </c>
      <c r="G3621" s="385">
        <v>46082</v>
      </c>
      <c r="H3621" s="367" t="s">
        <v>9</v>
      </c>
      <c r="I3621" s="368" t="str">
        <f>VLOOKUP(H3621,'[4]Source Codes'!A$2:B$115,2,FALSE)</f>
        <v>On Line Journal Entries</v>
      </c>
      <c r="J3621" s="412">
        <v>-3445595</v>
      </c>
      <c r="K3621" s="385">
        <v>46097</v>
      </c>
      <c r="L3621" s="369" t="s">
        <v>5805</v>
      </c>
      <c r="M3621" s="390">
        <v>46097.869837962964</v>
      </c>
      <c r="N3621" s="366" t="s">
        <v>2185</v>
      </c>
      <c r="O3621" s="367" t="s">
        <v>358</v>
      </c>
      <c r="P3621" s="367" t="str">
        <f t="shared" si="138"/>
        <v>Expense</v>
      </c>
      <c r="Q3621" s="366" t="s">
        <v>5139</v>
      </c>
      <c r="R3621" s="366" t="s">
        <v>5139</v>
      </c>
      <c r="S3621" s="366">
        <v>160100</v>
      </c>
    </row>
    <row r="3622" spans="1:19" ht="15" collapsed="1">
      <c r="J3622" s="413">
        <f>SUM(J3611:J3621)</f>
        <v>19997797.81000001</v>
      </c>
    </row>
    <row r="3624" spans="1:19" ht="12.75" customHeight="1">
      <c r="A3624" s="378" t="s">
        <v>5815</v>
      </c>
    </row>
    <row r="3625" spans="1:19" ht="75" hidden="1" outlineLevel="1">
      <c r="B3625" s="384">
        <v>2026</v>
      </c>
      <c r="C3625" s="384">
        <v>9</v>
      </c>
      <c r="D3625" s="367" t="s">
        <v>5</v>
      </c>
      <c r="E3625" s="367" t="s">
        <v>6</v>
      </c>
      <c r="F3625" s="389" t="s">
        <v>5816</v>
      </c>
      <c r="G3625" s="385">
        <v>46098</v>
      </c>
      <c r="H3625" s="367" t="s">
        <v>14</v>
      </c>
      <c r="I3625" s="368" t="str">
        <f>VLOOKUP(H3625,'[4]Source Codes'!A$2:B$115,2,FALSE)</f>
        <v>AP Warrant Issuance</v>
      </c>
      <c r="J3625" s="412">
        <v>-72417717.560000002</v>
      </c>
      <c r="K3625" s="385">
        <v>46098</v>
      </c>
      <c r="L3625" s="369" t="s">
        <v>5822</v>
      </c>
      <c r="M3625" s="390">
        <v>46098.758796296293</v>
      </c>
      <c r="N3625" s="368" t="s">
        <v>361</v>
      </c>
      <c r="O3625" s="368" t="s">
        <v>370</v>
      </c>
      <c r="P3625" s="367" t="str">
        <f t="shared" ref="P3625:P3629" si="139">IF(J3625&gt;0,"Revenue",IF(J3625&lt;0,"Expense"))</f>
        <v>Expense</v>
      </c>
      <c r="Q3625" s="366" t="s">
        <v>2975</v>
      </c>
      <c r="R3625" s="366" t="s">
        <v>5823</v>
      </c>
      <c r="S3625" s="366">
        <v>525440</v>
      </c>
    </row>
    <row r="3626" spans="1:19" ht="45" hidden="1" outlineLevel="1">
      <c r="B3626" s="384">
        <v>2026</v>
      </c>
      <c r="C3626" s="384">
        <v>9</v>
      </c>
      <c r="D3626" s="367" t="s">
        <v>5</v>
      </c>
      <c r="E3626" s="367" t="s">
        <v>6</v>
      </c>
      <c r="F3626" s="389" t="s">
        <v>5817</v>
      </c>
      <c r="G3626" s="385">
        <v>46092</v>
      </c>
      <c r="H3626" s="367" t="s">
        <v>11</v>
      </c>
      <c r="I3626" s="368" t="str">
        <f>VLOOKUP(H3626,'[4]Source Codes'!A$2:B$115,2,FALSE)</f>
        <v>AR Payments</v>
      </c>
      <c r="J3626" s="412">
        <v>1378348.64</v>
      </c>
      <c r="K3626" s="385">
        <v>46098</v>
      </c>
      <c r="L3626" s="369" t="s">
        <v>5824</v>
      </c>
      <c r="M3626" s="390">
        <v>46098.752476851849</v>
      </c>
      <c r="N3626" s="366" t="s">
        <v>359</v>
      </c>
      <c r="O3626" s="367" t="s">
        <v>357</v>
      </c>
      <c r="P3626" s="367" t="str">
        <f t="shared" si="139"/>
        <v>Revenue</v>
      </c>
      <c r="Q3626" s="366" t="s">
        <v>2157</v>
      </c>
      <c r="R3626" s="366" t="s">
        <v>2157</v>
      </c>
      <c r="S3626" s="366" t="s">
        <v>2278</v>
      </c>
    </row>
    <row r="3627" spans="1:19" ht="45" hidden="1" outlineLevel="1">
      <c r="B3627" s="384">
        <v>2026</v>
      </c>
      <c r="C3627" s="384">
        <v>9</v>
      </c>
      <c r="D3627" s="367" t="s">
        <v>5</v>
      </c>
      <c r="E3627" s="367" t="s">
        <v>6</v>
      </c>
      <c r="F3627" s="389" t="s">
        <v>5818</v>
      </c>
      <c r="G3627" s="385">
        <v>46093</v>
      </c>
      <c r="H3627" s="367" t="s">
        <v>9</v>
      </c>
      <c r="I3627" s="368" t="str">
        <f>VLOOKUP(H3627,'[4]Source Codes'!A$2:B$115,2,FALSE)</f>
        <v>On Line Journal Entries</v>
      </c>
      <c r="J3627" s="412">
        <v>6256652</v>
      </c>
      <c r="K3627" s="385">
        <v>46098</v>
      </c>
      <c r="L3627" s="369" t="s">
        <v>352</v>
      </c>
      <c r="M3627" s="390">
        <v>46098.870347222219</v>
      </c>
      <c r="N3627" s="368" t="s">
        <v>359</v>
      </c>
      <c r="O3627" s="367" t="s">
        <v>364</v>
      </c>
      <c r="P3627" s="367" t="str">
        <f t="shared" si="139"/>
        <v>Revenue</v>
      </c>
      <c r="Q3627" s="366" t="s">
        <v>2232</v>
      </c>
      <c r="R3627" s="365" t="s">
        <v>2232</v>
      </c>
      <c r="S3627" s="366" t="s">
        <v>2789</v>
      </c>
    </row>
    <row r="3628" spans="1:19" ht="30" hidden="1" outlineLevel="1">
      <c r="B3628" s="384">
        <v>2026</v>
      </c>
      <c r="C3628" s="384">
        <v>9</v>
      </c>
      <c r="D3628" s="367" t="s">
        <v>5</v>
      </c>
      <c r="E3628" s="367" t="s">
        <v>6</v>
      </c>
      <c r="F3628" s="389" t="s">
        <v>5819</v>
      </c>
      <c r="G3628" s="385">
        <v>46092</v>
      </c>
      <c r="H3628" s="367" t="s">
        <v>9</v>
      </c>
      <c r="I3628" s="368" t="str">
        <f>VLOOKUP(H3628,'[4]Source Codes'!A$2:B$115,2,FALSE)</f>
        <v>On Line Journal Entries</v>
      </c>
      <c r="J3628" s="412">
        <v>5061991</v>
      </c>
      <c r="K3628" s="385">
        <v>46098</v>
      </c>
      <c r="L3628" s="369" t="s">
        <v>334</v>
      </c>
      <c r="M3628" s="390">
        <v>46098.870347222219</v>
      </c>
      <c r="N3628" s="366" t="s">
        <v>356</v>
      </c>
      <c r="O3628" s="367" t="s">
        <v>364</v>
      </c>
      <c r="P3628" s="367" t="str">
        <f t="shared" si="139"/>
        <v>Revenue</v>
      </c>
      <c r="Q3628" s="366" t="s">
        <v>2232</v>
      </c>
      <c r="R3628" s="366" t="s">
        <v>2232</v>
      </c>
      <c r="S3628" s="366">
        <v>750741</v>
      </c>
    </row>
    <row r="3629" spans="1:19" ht="30" hidden="1" outlineLevel="1">
      <c r="B3629" s="384">
        <v>2026</v>
      </c>
      <c r="C3629" s="384">
        <v>9</v>
      </c>
      <c r="D3629" s="367" t="s">
        <v>5</v>
      </c>
      <c r="E3629" s="367" t="s">
        <v>6</v>
      </c>
      <c r="F3629" s="389" t="s">
        <v>5820</v>
      </c>
      <c r="G3629" s="385">
        <v>46082</v>
      </c>
      <c r="H3629" s="367" t="s">
        <v>9</v>
      </c>
      <c r="I3629" s="368" t="str">
        <f>VLOOKUP(H3629,'[4]Source Codes'!A$2:B$115,2,FALSE)</f>
        <v>On Line Journal Entries</v>
      </c>
      <c r="J3629" s="412">
        <v>-7576523.54</v>
      </c>
      <c r="K3629" s="385">
        <v>46098</v>
      </c>
      <c r="L3629" s="369" t="s">
        <v>5821</v>
      </c>
      <c r="M3629" s="390">
        <v>46098.468229166669</v>
      </c>
      <c r="N3629" s="366" t="s">
        <v>356</v>
      </c>
      <c r="O3629" s="367" t="s">
        <v>373</v>
      </c>
      <c r="P3629" s="367" t="str">
        <f t="shared" si="139"/>
        <v>Expense</v>
      </c>
      <c r="Q3629" s="366" t="s">
        <v>2569</v>
      </c>
      <c r="R3629" s="366" t="s">
        <v>5825</v>
      </c>
      <c r="S3629" s="366">
        <v>520930</v>
      </c>
    </row>
    <row r="3630" spans="1:19" ht="15" collapsed="1">
      <c r="J3630" s="413">
        <f>SUM(J3625:J3629)</f>
        <v>-67297249.460000008</v>
      </c>
    </row>
    <row r="3632" spans="1:19" ht="12.75" customHeight="1">
      <c r="A3632" s="378" t="s">
        <v>5826</v>
      </c>
    </row>
    <row r="3633" spans="1:19" ht="75" hidden="1" outlineLevel="1">
      <c r="B3633" s="384">
        <v>2026</v>
      </c>
      <c r="C3633" s="384">
        <v>9</v>
      </c>
      <c r="D3633" s="367" t="s">
        <v>5</v>
      </c>
      <c r="E3633" s="367" t="s">
        <v>6</v>
      </c>
      <c r="F3633" s="389" t="s">
        <v>5827</v>
      </c>
      <c r="G3633" s="385">
        <v>46094</v>
      </c>
      <c r="H3633" s="367" t="s">
        <v>11</v>
      </c>
      <c r="I3633" s="368" t="str">
        <f>VLOOKUP(H3633,'[4]Source Codes'!A$2:B$115,2,FALSE)</f>
        <v>AR Payments</v>
      </c>
      <c r="J3633" s="412">
        <v>1015373.89</v>
      </c>
      <c r="K3633" s="385">
        <v>46099</v>
      </c>
      <c r="L3633" s="369" t="s">
        <v>5829</v>
      </c>
      <c r="M3633" s="390">
        <v>46099.752164351848</v>
      </c>
      <c r="N3633" s="366" t="s">
        <v>359</v>
      </c>
      <c r="O3633" s="367" t="s">
        <v>357</v>
      </c>
      <c r="P3633" s="367" t="str">
        <f t="shared" ref="P3633:P3645" si="140">IF(J3633&gt;0,"Revenue",IF(J3633&lt;0,"Expense"))</f>
        <v>Revenue</v>
      </c>
      <c r="Q3633" s="366" t="s">
        <v>2157</v>
      </c>
      <c r="R3633" s="366" t="s">
        <v>2157</v>
      </c>
      <c r="S3633" s="366" t="s">
        <v>2531</v>
      </c>
    </row>
    <row r="3634" spans="1:19" ht="30" hidden="1" outlineLevel="1">
      <c r="B3634" s="384">
        <v>2026</v>
      </c>
      <c r="C3634" s="384">
        <v>9</v>
      </c>
      <c r="D3634" s="367" t="s">
        <v>5</v>
      </c>
      <c r="E3634" s="367" t="s">
        <v>6</v>
      </c>
      <c r="F3634" s="389" t="s">
        <v>5828</v>
      </c>
      <c r="G3634" s="385">
        <v>46092</v>
      </c>
      <c r="H3634" s="367" t="s">
        <v>11</v>
      </c>
      <c r="I3634" s="368" t="str">
        <f>VLOOKUP(H3634,'[4]Source Codes'!A$2:B$115,2,FALSE)</f>
        <v>AR Payments</v>
      </c>
      <c r="J3634" s="412">
        <v>5482317.7000000002</v>
      </c>
      <c r="K3634" s="385">
        <v>46099</v>
      </c>
      <c r="L3634" s="369" t="s">
        <v>5830</v>
      </c>
      <c r="M3634" s="390">
        <v>46099.752164351848</v>
      </c>
      <c r="N3634" s="366" t="s">
        <v>356</v>
      </c>
      <c r="O3634" s="367" t="s">
        <v>362</v>
      </c>
      <c r="P3634" s="367" t="str">
        <f t="shared" si="140"/>
        <v>Revenue</v>
      </c>
      <c r="Q3634" s="366" t="s">
        <v>2360</v>
      </c>
      <c r="R3634" s="366" t="s">
        <v>3049</v>
      </c>
      <c r="S3634" s="366" t="s">
        <v>5831</v>
      </c>
    </row>
    <row r="3635" spans="1:19" ht="15" collapsed="1">
      <c r="I3635" s="368"/>
      <c r="J3635" s="413">
        <f>SUM(J3633:J3634)</f>
        <v>6497691.5899999999</v>
      </c>
      <c r="P3635" s="367"/>
    </row>
    <row r="3636" spans="1:19" ht="12.75" customHeight="1">
      <c r="I3636" s="368"/>
      <c r="P3636" s="367"/>
    </row>
    <row r="3637" spans="1:19" ht="12.75" customHeight="1">
      <c r="A3637" s="378" t="s">
        <v>5832</v>
      </c>
      <c r="I3637" s="368"/>
      <c r="P3637" s="367"/>
    </row>
    <row r="3638" spans="1:19" ht="30" hidden="1" outlineLevel="1">
      <c r="B3638" s="384">
        <v>2026</v>
      </c>
      <c r="C3638" s="384">
        <v>9</v>
      </c>
      <c r="D3638" s="367" t="s">
        <v>5</v>
      </c>
      <c r="E3638" s="367" t="s">
        <v>6</v>
      </c>
      <c r="F3638" s="389" t="s">
        <v>5833</v>
      </c>
      <c r="G3638" s="385">
        <v>46104</v>
      </c>
      <c r="H3638" s="367" t="s">
        <v>14</v>
      </c>
      <c r="I3638" s="368" t="str">
        <f>VLOOKUP(H3638,'[4]Source Codes'!A$2:B$115,2,FALSE)</f>
        <v>AP Warrant Issuance</v>
      </c>
      <c r="J3638" s="412">
        <v>-1187631.08</v>
      </c>
      <c r="K3638" s="385">
        <v>46100</v>
      </c>
      <c r="L3638" s="369" t="s">
        <v>5834</v>
      </c>
      <c r="M3638" s="390">
        <v>46100.757708333331</v>
      </c>
      <c r="N3638" s="366" t="s">
        <v>356</v>
      </c>
      <c r="O3638" s="367" t="s">
        <v>368</v>
      </c>
      <c r="P3638" s="367" t="str">
        <f t="shared" si="140"/>
        <v>Expense</v>
      </c>
      <c r="Q3638" s="366" t="s">
        <v>5835</v>
      </c>
      <c r="R3638" s="366" t="s">
        <v>5835</v>
      </c>
      <c r="S3638" s="366" t="s">
        <v>203</v>
      </c>
    </row>
    <row r="3639" spans="1:19" ht="30" hidden="1" outlineLevel="1">
      <c r="B3639" s="384">
        <v>2026</v>
      </c>
      <c r="C3639" s="384">
        <v>9</v>
      </c>
      <c r="D3639" s="367" t="s">
        <v>5</v>
      </c>
      <c r="E3639" s="367" t="s">
        <v>6</v>
      </c>
      <c r="F3639" s="389" t="s">
        <v>5836</v>
      </c>
      <c r="G3639" s="385">
        <v>46097</v>
      </c>
      <c r="H3639" s="367" t="s">
        <v>12</v>
      </c>
      <c r="I3639" s="368" t="str">
        <f>VLOOKUP(H3639,'[4]Source Codes'!A$2:B$115,2,FALSE)</f>
        <v>AR Direct Cash Journal</v>
      </c>
      <c r="J3639" s="412">
        <v>1441420.44</v>
      </c>
      <c r="K3639" s="385">
        <v>46100</v>
      </c>
      <c r="L3639" s="369" t="s">
        <v>5838</v>
      </c>
      <c r="M3639" s="390">
        <v>46100.751967592594</v>
      </c>
      <c r="N3639" s="366" t="s">
        <v>361</v>
      </c>
      <c r="O3639" s="367" t="s">
        <v>370</v>
      </c>
      <c r="P3639" s="367" t="str">
        <f t="shared" si="140"/>
        <v>Revenue</v>
      </c>
      <c r="Q3639" s="366" t="s">
        <v>2264</v>
      </c>
      <c r="R3639" s="366" t="s">
        <v>2264</v>
      </c>
      <c r="S3639" s="366">
        <v>779250</v>
      </c>
    </row>
    <row r="3640" spans="1:19" ht="30" hidden="1" outlineLevel="1">
      <c r="B3640" s="384">
        <v>2026</v>
      </c>
      <c r="C3640" s="384">
        <v>9</v>
      </c>
      <c r="D3640" s="367" t="s">
        <v>5</v>
      </c>
      <c r="E3640" s="367" t="s">
        <v>6</v>
      </c>
      <c r="F3640" s="389" t="s">
        <v>5837</v>
      </c>
      <c r="G3640" s="385">
        <v>46099</v>
      </c>
      <c r="H3640" s="367" t="s">
        <v>11</v>
      </c>
      <c r="I3640" s="368" t="str">
        <f>VLOOKUP(H3640,'[4]Source Codes'!A$2:B$115,2,FALSE)</f>
        <v>AR Payments</v>
      </c>
      <c r="J3640" s="412">
        <v>1819132.45</v>
      </c>
      <c r="K3640" s="385">
        <v>46100</v>
      </c>
      <c r="L3640" s="369" t="s">
        <v>5839</v>
      </c>
      <c r="M3640" s="390">
        <v>46100.751967592594</v>
      </c>
      <c r="N3640" s="366" t="s">
        <v>356</v>
      </c>
      <c r="O3640" s="367" t="s">
        <v>362</v>
      </c>
      <c r="P3640" s="367" t="str">
        <f t="shared" si="140"/>
        <v>Revenue</v>
      </c>
      <c r="Q3640" s="366" t="s">
        <v>3049</v>
      </c>
      <c r="R3640" s="366" t="s">
        <v>3049</v>
      </c>
      <c r="S3640" s="366" t="s">
        <v>5831</v>
      </c>
    </row>
    <row r="3641" spans="1:19" ht="30" hidden="1" outlineLevel="1">
      <c r="B3641" s="384">
        <v>2026</v>
      </c>
      <c r="C3641" s="384">
        <v>9</v>
      </c>
      <c r="D3641" s="367" t="s">
        <v>5</v>
      </c>
      <c r="E3641" s="367" t="s">
        <v>6</v>
      </c>
      <c r="F3641" s="389" t="s">
        <v>5840</v>
      </c>
      <c r="G3641" s="385">
        <v>46099</v>
      </c>
      <c r="H3641" s="367" t="s">
        <v>9</v>
      </c>
      <c r="I3641" s="368" t="str">
        <f>VLOOKUP(H3641,'[4]Source Codes'!A$2:B$115,2,FALSE)</f>
        <v>On Line Journal Entries</v>
      </c>
      <c r="J3641" s="412">
        <v>1656483</v>
      </c>
      <c r="K3641" s="385">
        <v>46100</v>
      </c>
      <c r="L3641" s="369" t="s">
        <v>344</v>
      </c>
      <c r="M3641" s="390">
        <v>46100.442835648151</v>
      </c>
      <c r="N3641" s="366" t="s">
        <v>356</v>
      </c>
      <c r="O3641" s="367" t="s">
        <v>364</v>
      </c>
      <c r="P3641" s="367" t="str">
        <f t="shared" si="140"/>
        <v>Revenue</v>
      </c>
      <c r="Q3641" s="366" t="s">
        <v>2232</v>
      </c>
      <c r="R3641" s="365" t="s">
        <v>3454</v>
      </c>
      <c r="S3641" s="366" t="s">
        <v>3913</v>
      </c>
    </row>
    <row r="3642" spans="1:19" ht="15" hidden="1" outlineLevel="1">
      <c r="B3642" s="384">
        <v>2026</v>
      </c>
      <c r="C3642" s="384">
        <v>9</v>
      </c>
      <c r="D3642" s="367" t="s">
        <v>5</v>
      </c>
      <c r="E3642" s="367" t="s">
        <v>6</v>
      </c>
      <c r="F3642" s="389" t="s">
        <v>5841</v>
      </c>
      <c r="G3642" s="385">
        <v>46098</v>
      </c>
      <c r="H3642" s="367" t="s">
        <v>8</v>
      </c>
      <c r="I3642" s="368" t="str">
        <f>VLOOKUP(H3642,'[4]Source Codes'!A$2:B$115,2,FALSE)</f>
        <v>Prch,Cntrl Mail,Flt,Prntg,Sply</v>
      </c>
      <c r="J3642" s="412">
        <v>-1801657.67</v>
      </c>
      <c r="K3642" s="385">
        <v>46100</v>
      </c>
      <c r="L3642" s="369" t="s">
        <v>5845</v>
      </c>
      <c r="M3642" s="390">
        <v>46100.437708333331</v>
      </c>
      <c r="N3642" s="366" t="s">
        <v>356</v>
      </c>
      <c r="O3642" s="367" t="s">
        <v>382</v>
      </c>
      <c r="P3642" s="367" t="str">
        <f t="shared" si="140"/>
        <v>Expense</v>
      </c>
      <c r="Q3642" s="366" t="s">
        <v>2328</v>
      </c>
      <c r="R3642" s="366" t="s">
        <v>5847</v>
      </c>
      <c r="S3642" s="366" t="s">
        <v>2535</v>
      </c>
    </row>
    <row r="3643" spans="1:19" ht="15" hidden="1" outlineLevel="1">
      <c r="B3643" s="384">
        <v>2026</v>
      </c>
      <c r="C3643" s="384">
        <v>9</v>
      </c>
      <c r="D3643" s="367" t="s">
        <v>5</v>
      </c>
      <c r="E3643" s="367" t="s">
        <v>6</v>
      </c>
      <c r="F3643" s="389" t="s">
        <v>5842</v>
      </c>
      <c r="G3643" s="385">
        <v>46099</v>
      </c>
      <c r="H3643" s="367" t="s">
        <v>7</v>
      </c>
      <c r="I3643" s="368" t="str">
        <f>VLOOKUP(H3643,'[4]Source Codes'!A$2:B$115,2,FALSE)</f>
        <v>HRMS Interface Journals</v>
      </c>
      <c r="J3643" s="412">
        <v>-2692118.13</v>
      </c>
      <c r="K3643" s="385">
        <v>46100</v>
      </c>
      <c r="L3643" s="369" t="s">
        <v>409</v>
      </c>
      <c r="M3643" s="390">
        <v>46100.373333333337</v>
      </c>
      <c r="N3643" s="366" t="s">
        <v>378</v>
      </c>
      <c r="O3643" s="367" t="s">
        <v>379</v>
      </c>
      <c r="P3643" s="367" t="str">
        <f t="shared" si="140"/>
        <v>Expense</v>
      </c>
      <c r="Q3643" s="426" t="s">
        <v>379</v>
      </c>
      <c r="R3643" s="366" t="s">
        <v>5848</v>
      </c>
      <c r="S3643" s="366">
        <v>513120</v>
      </c>
    </row>
    <row r="3644" spans="1:19" ht="30" hidden="1" outlineLevel="1">
      <c r="B3644" s="384">
        <v>2026</v>
      </c>
      <c r="C3644" s="384">
        <v>9</v>
      </c>
      <c r="D3644" s="367" t="s">
        <v>5</v>
      </c>
      <c r="E3644" s="367" t="s">
        <v>6</v>
      </c>
      <c r="F3644" s="389" t="s">
        <v>5843</v>
      </c>
      <c r="G3644" s="385">
        <v>46099</v>
      </c>
      <c r="H3644" s="367" t="s">
        <v>337</v>
      </c>
      <c r="I3644" s="368" t="str">
        <f>VLOOKUP(H3644,'[4]Source Codes'!A$2:B$115,2,FALSE)</f>
        <v>Facilities Mngmnt Intfc Jrnls</v>
      </c>
      <c r="J3644" s="412">
        <v>-4486464.91</v>
      </c>
      <c r="K3644" s="385">
        <v>46100</v>
      </c>
      <c r="L3644" s="369" t="s">
        <v>5846</v>
      </c>
      <c r="M3644" s="390">
        <v>46100.494953703703</v>
      </c>
      <c r="N3644" s="366" t="s">
        <v>356</v>
      </c>
      <c r="O3644" s="367" t="s">
        <v>367</v>
      </c>
      <c r="P3644" s="367" t="str">
        <f t="shared" si="140"/>
        <v>Expense</v>
      </c>
      <c r="Q3644" s="366" t="s">
        <v>2237</v>
      </c>
      <c r="R3644" s="366" t="s">
        <v>5849</v>
      </c>
      <c r="S3644" s="366" t="s">
        <v>5661</v>
      </c>
    </row>
    <row r="3645" spans="1:19" ht="15" hidden="1" outlineLevel="1">
      <c r="B3645" s="384">
        <v>2026</v>
      </c>
      <c r="C3645" s="384">
        <v>9</v>
      </c>
      <c r="D3645" s="367" t="s">
        <v>5</v>
      </c>
      <c r="E3645" s="367" t="s">
        <v>6</v>
      </c>
      <c r="F3645" s="389" t="s">
        <v>5844</v>
      </c>
      <c r="G3645" s="385">
        <v>46099</v>
      </c>
      <c r="H3645" s="367" t="s">
        <v>7</v>
      </c>
      <c r="I3645" s="368" t="str">
        <f>VLOOKUP(H3645,'[4]Source Codes'!A$2:B$115,2,FALSE)</f>
        <v>HRMS Interface Journals</v>
      </c>
      <c r="J3645" s="412">
        <v>-10994488.43</v>
      </c>
      <c r="K3645" s="385">
        <v>46100</v>
      </c>
      <c r="L3645" s="369" t="s">
        <v>407</v>
      </c>
      <c r="M3645" s="390">
        <v>46100.364444444444</v>
      </c>
      <c r="N3645" s="366" t="s">
        <v>378</v>
      </c>
      <c r="O3645" s="367" t="s">
        <v>379</v>
      </c>
      <c r="P3645" s="367" t="str">
        <f t="shared" si="140"/>
        <v>Expense</v>
      </c>
      <c r="Q3645" s="366" t="s">
        <v>379</v>
      </c>
      <c r="R3645" s="365" t="s">
        <v>5848</v>
      </c>
      <c r="S3645" s="366" t="s">
        <v>203</v>
      </c>
    </row>
    <row r="3646" spans="1:19" ht="12.75" customHeight="1" collapsed="1">
      <c r="J3646" s="413">
        <f>SUM(J3638:J3645)</f>
        <v>-16245324.33</v>
      </c>
    </row>
    <row r="3648" spans="1:19" ht="12.75" customHeight="1">
      <c r="A3648" s="378" t="s">
        <v>5850</v>
      </c>
    </row>
    <row r="3649" spans="1:19" ht="30" hidden="1" outlineLevel="1">
      <c r="B3649" s="384">
        <v>2026</v>
      </c>
      <c r="C3649" s="384">
        <v>9</v>
      </c>
      <c r="D3649" s="367" t="s">
        <v>5</v>
      </c>
      <c r="E3649" s="367" t="s">
        <v>6</v>
      </c>
      <c r="F3649" s="389" t="s">
        <v>5851</v>
      </c>
      <c r="G3649" s="385">
        <v>46105</v>
      </c>
      <c r="H3649" s="367" t="s">
        <v>14</v>
      </c>
      <c r="I3649" s="368" t="str">
        <f>VLOOKUP(H3649,'[4]Source Codes'!A$2:B$115,2,FALSE)</f>
        <v>AP Warrant Issuance</v>
      </c>
      <c r="J3649" s="412">
        <v>-1425449.02</v>
      </c>
      <c r="K3649" s="385">
        <v>46101</v>
      </c>
      <c r="L3649" s="369" t="s">
        <v>5852</v>
      </c>
      <c r="M3649" s="390">
        <v>46101.758877314816</v>
      </c>
      <c r="N3649" s="366" t="s">
        <v>356</v>
      </c>
      <c r="O3649" s="367" t="s">
        <v>368</v>
      </c>
      <c r="P3649" s="367" t="str">
        <f t="shared" ref="P3649" si="141">IF(J3649&gt;0,"Revenue",IF(J3649&lt;0,"Expense"))</f>
        <v>Expense</v>
      </c>
      <c r="Q3649" s="366" t="s">
        <v>5835</v>
      </c>
      <c r="R3649" s="366" t="s">
        <v>5835</v>
      </c>
      <c r="S3649" s="366" t="s">
        <v>203</v>
      </c>
    </row>
    <row r="3650" spans="1:19" ht="12.75" customHeight="1" collapsed="1">
      <c r="J3650" s="413">
        <f>SUM(J3649)</f>
        <v>-1425449.02</v>
      </c>
    </row>
    <row r="3652" spans="1:19" ht="12.75" customHeight="1">
      <c r="A3652" s="378" t="s">
        <v>5853</v>
      </c>
    </row>
    <row r="3653" spans="1:19" ht="30" hidden="1" outlineLevel="1">
      <c r="B3653" s="384">
        <v>2026</v>
      </c>
      <c r="C3653" s="384">
        <v>9</v>
      </c>
      <c r="D3653" s="367" t="s">
        <v>5</v>
      </c>
      <c r="E3653" s="367" t="s">
        <v>6</v>
      </c>
      <c r="F3653" s="389" t="s">
        <v>5854</v>
      </c>
      <c r="G3653" s="385">
        <v>46099</v>
      </c>
      <c r="H3653" s="367" t="s">
        <v>9</v>
      </c>
      <c r="I3653" s="368" t="str">
        <f>VLOOKUP(H3653,'[4]Source Codes'!A$2:B$115,2,FALSE)</f>
        <v>On Line Journal Entries</v>
      </c>
      <c r="J3653" s="412">
        <v>8286359</v>
      </c>
      <c r="K3653" s="385">
        <v>46104</v>
      </c>
      <c r="L3653" s="369" t="s">
        <v>344</v>
      </c>
      <c r="M3653" s="390">
        <v>46104.870289351849</v>
      </c>
      <c r="N3653" s="366" t="s">
        <v>356</v>
      </c>
      <c r="O3653" s="367" t="s">
        <v>364</v>
      </c>
      <c r="P3653" s="367" t="str">
        <f t="shared" ref="P3653:P3658" si="142">IF(J3653&gt;0,"Revenue",IF(J3653&lt;0,"Expense"))</f>
        <v>Revenue</v>
      </c>
      <c r="Q3653" s="366" t="s">
        <v>2232</v>
      </c>
      <c r="R3653" s="366" t="s">
        <v>3454</v>
      </c>
      <c r="S3653" s="366" t="s">
        <v>2533</v>
      </c>
    </row>
    <row r="3654" spans="1:19" ht="30" hidden="1" outlineLevel="1">
      <c r="B3654" s="384">
        <v>2026</v>
      </c>
      <c r="C3654" s="384">
        <v>9</v>
      </c>
      <c r="D3654" s="367" t="s">
        <v>5</v>
      </c>
      <c r="E3654" s="367" t="s">
        <v>6</v>
      </c>
      <c r="F3654" s="389" t="s">
        <v>5855</v>
      </c>
      <c r="G3654" s="385">
        <v>46098</v>
      </c>
      <c r="H3654" s="367" t="s">
        <v>9</v>
      </c>
      <c r="I3654" s="368" t="str">
        <f>VLOOKUP(H3654,'[4]Source Codes'!A$2:B$115,2,FALSE)</f>
        <v>On Line Journal Entries</v>
      </c>
      <c r="J3654" s="412">
        <v>8230799</v>
      </c>
      <c r="K3654" s="385">
        <v>46104</v>
      </c>
      <c r="L3654" s="369" t="s">
        <v>344</v>
      </c>
      <c r="M3654" s="390">
        <v>46104.870289351849</v>
      </c>
      <c r="N3654" s="366" t="s">
        <v>356</v>
      </c>
      <c r="O3654" s="367" t="s">
        <v>364</v>
      </c>
      <c r="P3654" s="367" t="str">
        <f t="shared" si="142"/>
        <v>Revenue</v>
      </c>
      <c r="Q3654" s="366" t="s">
        <v>2232</v>
      </c>
      <c r="R3654" s="366" t="s">
        <v>3454</v>
      </c>
      <c r="S3654" s="366" t="s">
        <v>3587</v>
      </c>
    </row>
    <row r="3655" spans="1:19" ht="60" hidden="1" outlineLevel="1">
      <c r="B3655" s="384">
        <v>2026</v>
      </c>
      <c r="C3655" s="384">
        <v>9</v>
      </c>
      <c r="D3655" s="367" t="s">
        <v>5</v>
      </c>
      <c r="E3655" s="367" t="s">
        <v>6</v>
      </c>
      <c r="F3655" s="389" t="s">
        <v>5856</v>
      </c>
      <c r="G3655" s="385">
        <v>46090</v>
      </c>
      <c r="H3655" s="367" t="s">
        <v>9</v>
      </c>
      <c r="I3655" s="368" t="str">
        <f>VLOOKUP(H3655,'[4]Source Codes'!A$2:B$115,2,FALSE)</f>
        <v>On Line Journal Entries</v>
      </c>
      <c r="J3655" s="412">
        <v>2422840.7799999998</v>
      </c>
      <c r="K3655" s="385">
        <v>46104</v>
      </c>
      <c r="L3655" s="369" t="s">
        <v>5860</v>
      </c>
      <c r="M3655" s="390">
        <v>46104.870289351849</v>
      </c>
      <c r="N3655" s="366" t="s">
        <v>2185</v>
      </c>
      <c r="O3655" s="367" t="s">
        <v>358</v>
      </c>
      <c r="P3655" s="367" t="str">
        <f t="shared" si="142"/>
        <v>Revenue</v>
      </c>
      <c r="Q3655" s="366" t="s">
        <v>4886</v>
      </c>
      <c r="R3655" s="366" t="s">
        <v>4887</v>
      </c>
      <c r="S3655" s="366">
        <v>778190</v>
      </c>
    </row>
    <row r="3656" spans="1:19" ht="30" hidden="1" outlineLevel="1">
      <c r="B3656" s="384">
        <v>2026</v>
      </c>
      <c r="C3656" s="384">
        <v>9</v>
      </c>
      <c r="D3656" s="367" t="s">
        <v>5</v>
      </c>
      <c r="E3656" s="367" t="s">
        <v>6</v>
      </c>
      <c r="F3656" s="389" t="s">
        <v>5857</v>
      </c>
      <c r="G3656" s="385">
        <v>46099</v>
      </c>
      <c r="H3656" s="367" t="s">
        <v>9</v>
      </c>
      <c r="I3656" s="368" t="str">
        <f>VLOOKUP(H3656,'[4]Source Codes'!A$2:B$115,2,FALSE)</f>
        <v>On Line Journal Entries</v>
      </c>
      <c r="J3656" s="412">
        <v>2178847</v>
      </c>
      <c r="K3656" s="385">
        <v>46104</v>
      </c>
      <c r="L3656" s="369" t="s">
        <v>5861</v>
      </c>
      <c r="M3656" s="390">
        <v>46104.870289351849</v>
      </c>
      <c r="N3656" s="366" t="s">
        <v>361</v>
      </c>
      <c r="O3656" s="367" t="s">
        <v>380</v>
      </c>
      <c r="P3656" s="367" t="str">
        <f t="shared" si="142"/>
        <v>Revenue</v>
      </c>
      <c r="Q3656" s="366" t="s">
        <v>3075</v>
      </c>
      <c r="R3656" s="366" t="s">
        <v>5862</v>
      </c>
      <c r="S3656" s="366">
        <v>777470</v>
      </c>
    </row>
    <row r="3657" spans="1:19" ht="30" hidden="1" outlineLevel="1">
      <c r="B3657" s="384">
        <v>2026</v>
      </c>
      <c r="C3657" s="384">
        <v>9</v>
      </c>
      <c r="D3657" s="367" t="s">
        <v>5</v>
      </c>
      <c r="E3657" s="367" t="s">
        <v>6</v>
      </c>
      <c r="F3657" s="389" t="s">
        <v>5858</v>
      </c>
      <c r="G3657" s="385">
        <v>46099</v>
      </c>
      <c r="H3657" s="367" t="s">
        <v>9</v>
      </c>
      <c r="I3657" s="368" t="str">
        <f>VLOOKUP(H3657,'[4]Source Codes'!A$2:B$115,2,FALSE)</f>
        <v>On Line Journal Entries</v>
      </c>
      <c r="J3657" s="412">
        <v>2037526</v>
      </c>
      <c r="K3657" s="385">
        <v>46104</v>
      </c>
      <c r="L3657" s="369" t="s">
        <v>344</v>
      </c>
      <c r="M3657" s="390">
        <v>46104.870289351849</v>
      </c>
      <c r="N3657" s="366" t="s">
        <v>356</v>
      </c>
      <c r="O3657" s="367" t="s">
        <v>364</v>
      </c>
      <c r="P3657" s="367" t="str">
        <f t="shared" si="142"/>
        <v>Revenue</v>
      </c>
      <c r="Q3657" s="366" t="s">
        <v>2232</v>
      </c>
      <c r="R3657" s="366" t="s">
        <v>3454</v>
      </c>
      <c r="S3657" s="366" t="s">
        <v>2533</v>
      </c>
    </row>
    <row r="3658" spans="1:19" ht="15" hidden="1" outlineLevel="1">
      <c r="B3658" s="384">
        <v>2026</v>
      </c>
      <c r="C3658" s="384">
        <v>9</v>
      </c>
      <c r="D3658" s="367" t="s">
        <v>5</v>
      </c>
      <c r="E3658" s="367" t="s">
        <v>6</v>
      </c>
      <c r="F3658" s="389" t="s">
        <v>5859</v>
      </c>
      <c r="G3658" s="385">
        <v>46099</v>
      </c>
      <c r="H3658" s="367" t="s">
        <v>7</v>
      </c>
      <c r="I3658" s="368" t="str">
        <f>VLOOKUP(H3658,'[4]Source Codes'!A$2:B$115,2,FALSE)</f>
        <v>HRMS Interface Journals</v>
      </c>
      <c r="J3658" s="412">
        <v>-76640514.109999999</v>
      </c>
      <c r="K3658" s="385">
        <v>46104</v>
      </c>
      <c r="L3658" s="369" t="s">
        <v>406</v>
      </c>
      <c r="M3658" s="390">
        <v>46104.337893518517</v>
      </c>
      <c r="N3658" s="366" t="s">
        <v>378</v>
      </c>
      <c r="O3658" s="367" t="s">
        <v>371</v>
      </c>
      <c r="P3658" s="367" t="str">
        <f t="shared" si="142"/>
        <v>Expense</v>
      </c>
      <c r="Q3658" s="366" t="s">
        <v>379</v>
      </c>
      <c r="R3658" s="366" t="s">
        <v>5848</v>
      </c>
      <c r="S3658" s="366" t="s">
        <v>203</v>
      </c>
    </row>
    <row r="3659" spans="1:19" ht="15" collapsed="1">
      <c r="J3659" s="413">
        <f>SUM(J3653:J3658)</f>
        <v>-53484142.329999998</v>
      </c>
    </row>
    <row r="3660" spans="1:19" ht="12.75" customHeight="1">
      <c r="A3660" s="378"/>
    </row>
    <row r="3661" spans="1:19" ht="12.75" customHeight="1">
      <c r="A3661" s="378" t="s">
        <v>5863</v>
      </c>
    </row>
    <row r="3662" spans="1:19" ht="30" hidden="1" outlineLevel="1">
      <c r="B3662" s="384">
        <v>2026</v>
      </c>
      <c r="C3662" s="384">
        <v>9</v>
      </c>
      <c r="D3662" s="367" t="s">
        <v>5</v>
      </c>
      <c r="E3662" s="367" t="s">
        <v>6</v>
      </c>
      <c r="F3662" s="389" t="s">
        <v>5864</v>
      </c>
      <c r="G3662" s="385">
        <v>46083</v>
      </c>
      <c r="H3662" s="367" t="s">
        <v>12</v>
      </c>
      <c r="I3662" s="368" t="str">
        <f>VLOOKUP(H3662,'[4]Source Codes'!A$2:B$115,2,FALSE)</f>
        <v>AR Direct Cash Journal</v>
      </c>
      <c r="J3662" s="412">
        <v>1444062.21</v>
      </c>
      <c r="K3662" s="385">
        <v>46105</v>
      </c>
      <c r="L3662" s="369" t="s">
        <v>5869</v>
      </c>
      <c r="M3662" s="390">
        <v>46105.752002314817</v>
      </c>
      <c r="N3662" s="366" t="s">
        <v>359</v>
      </c>
      <c r="O3662" s="367" t="s">
        <v>370</v>
      </c>
      <c r="P3662" s="367" t="str">
        <f t="shared" ref="P3662:P3664" si="143">IF(J3662&gt;0,"Revenue",IF(J3662&lt;0,"Expense"))</f>
        <v>Revenue</v>
      </c>
      <c r="Q3662" s="366" t="s">
        <v>2264</v>
      </c>
      <c r="R3662" s="366" t="s">
        <v>2264</v>
      </c>
      <c r="S3662" s="366" t="s">
        <v>5867</v>
      </c>
    </row>
    <row r="3663" spans="1:19" ht="30" hidden="1" outlineLevel="1">
      <c r="B3663" s="384">
        <v>2026</v>
      </c>
      <c r="C3663" s="384">
        <v>9</v>
      </c>
      <c r="D3663" s="367" t="s">
        <v>5</v>
      </c>
      <c r="E3663" s="367" t="s">
        <v>6</v>
      </c>
      <c r="F3663" s="389" t="s">
        <v>5865</v>
      </c>
      <c r="G3663" s="385">
        <v>46092</v>
      </c>
      <c r="H3663" s="367" t="s">
        <v>12</v>
      </c>
      <c r="I3663" s="368" t="str">
        <f>VLOOKUP(H3663,'[4]Source Codes'!A$2:B$115,2,FALSE)</f>
        <v>AR Direct Cash Journal</v>
      </c>
      <c r="J3663" s="412">
        <v>1466560.13</v>
      </c>
      <c r="K3663" s="385">
        <v>46105</v>
      </c>
      <c r="L3663" s="369" t="s">
        <v>5870</v>
      </c>
      <c r="M3663" s="390">
        <v>46105.752002314817</v>
      </c>
      <c r="N3663" s="366" t="s">
        <v>359</v>
      </c>
      <c r="O3663" s="367" t="s">
        <v>370</v>
      </c>
      <c r="P3663" s="367" t="str">
        <f t="shared" si="143"/>
        <v>Revenue</v>
      </c>
      <c r="Q3663" s="366" t="s">
        <v>2264</v>
      </c>
      <c r="R3663" s="366" t="s">
        <v>2264</v>
      </c>
      <c r="S3663" s="366" t="s">
        <v>5868</v>
      </c>
    </row>
    <row r="3664" spans="1:19" ht="75" hidden="1" outlineLevel="1">
      <c r="B3664" s="384">
        <v>2026</v>
      </c>
      <c r="C3664" s="384">
        <v>9</v>
      </c>
      <c r="D3664" s="367" t="s">
        <v>5</v>
      </c>
      <c r="E3664" s="367" t="s">
        <v>6</v>
      </c>
      <c r="F3664" s="389" t="s">
        <v>5866</v>
      </c>
      <c r="G3664" s="385">
        <v>46100</v>
      </c>
      <c r="H3664" s="367" t="s">
        <v>12</v>
      </c>
      <c r="I3664" s="368" t="str">
        <f>VLOOKUP(H3664,'[4]Source Codes'!A$2:B$115,2,FALSE)</f>
        <v>AR Direct Cash Journal</v>
      </c>
      <c r="J3664" s="412">
        <v>11667553.220000001</v>
      </c>
      <c r="K3664" s="385">
        <v>46105</v>
      </c>
      <c r="L3664" s="369" t="s">
        <v>5871</v>
      </c>
      <c r="M3664" s="390">
        <v>46105.752002314817</v>
      </c>
      <c r="N3664" s="366" t="s">
        <v>359</v>
      </c>
      <c r="O3664" s="367" t="s">
        <v>370</v>
      </c>
      <c r="P3664" s="367" t="str">
        <f t="shared" si="143"/>
        <v>Revenue</v>
      </c>
      <c r="Q3664" s="366" t="s">
        <v>2264</v>
      </c>
      <c r="R3664" s="366" t="s">
        <v>2264</v>
      </c>
      <c r="S3664" s="366" t="s">
        <v>5872</v>
      </c>
    </row>
    <row r="3665" spans="1:19" ht="12.75" customHeight="1" collapsed="1">
      <c r="J3665" s="413">
        <f>SUM(J3662:J3664)</f>
        <v>14578175.560000001</v>
      </c>
    </row>
    <row r="3666" spans="1:19" ht="12.75" customHeight="1">
      <c r="A3666" s="378"/>
    </row>
    <row r="3667" spans="1:19" ht="12.75" customHeight="1">
      <c r="A3667" s="378" t="s">
        <v>5873</v>
      </c>
      <c r="B3667" s="396"/>
      <c r="C3667" s="396"/>
    </row>
    <row r="3668" spans="1:19" ht="30" hidden="1" outlineLevel="1">
      <c r="B3668" s="384">
        <v>2026</v>
      </c>
      <c r="C3668" s="384">
        <v>9</v>
      </c>
      <c r="D3668" s="367" t="s">
        <v>5</v>
      </c>
      <c r="E3668" s="367" t="s">
        <v>6</v>
      </c>
      <c r="F3668" s="389" t="s">
        <v>5874</v>
      </c>
      <c r="G3668" s="385">
        <v>46106</v>
      </c>
      <c r="H3668" s="367" t="s">
        <v>14</v>
      </c>
      <c r="I3668" s="368" t="str">
        <f>VLOOKUP(H3668,'[4]Source Codes'!A$2:B$115,2,FALSE)</f>
        <v>AP Warrant Issuance</v>
      </c>
      <c r="J3668" s="412">
        <v>-1596990.95</v>
      </c>
      <c r="K3668" s="385">
        <v>46106</v>
      </c>
      <c r="L3668" s="369" t="s">
        <v>5881</v>
      </c>
      <c r="M3668" s="390">
        <v>46106.757916666669</v>
      </c>
      <c r="N3668" s="366" t="s">
        <v>356</v>
      </c>
      <c r="O3668" s="367" t="s">
        <v>368</v>
      </c>
      <c r="P3668" s="367" t="str">
        <f t="shared" ref="P3668:P3673" si="144">IF(J3668&gt;0,"Revenue",IF(J3668&lt;0,"Expense"))</f>
        <v>Expense</v>
      </c>
      <c r="Q3668" s="366" t="s">
        <v>5835</v>
      </c>
      <c r="R3668" s="366" t="s">
        <v>5835</v>
      </c>
      <c r="S3668" s="366" t="s">
        <v>203</v>
      </c>
    </row>
    <row r="3669" spans="1:19" ht="60" hidden="1" outlineLevel="1">
      <c r="B3669" s="384">
        <v>2026</v>
      </c>
      <c r="C3669" s="384">
        <v>9</v>
      </c>
      <c r="D3669" s="367" t="s">
        <v>5</v>
      </c>
      <c r="E3669" s="367" t="s">
        <v>6</v>
      </c>
      <c r="F3669" s="389" t="s">
        <v>5875</v>
      </c>
      <c r="G3669" s="385">
        <v>46106</v>
      </c>
      <c r="H3669" s="367" t="s">
        <v>14</v>
      </c>
      <c r="I3669" s="368" t="str">
        <f>VLOOKUP(H3669,'[4]Source Codes'!A$2:B$115,2,FALSE)</f>
        <v>AP Warrant Issuance</v>
      </c>
      <c r="J3669" s="412">
        <v>-1389014.94</v>
      </c>
      <c r="K3669" s="385">
        <v>46106</v>
      </c>
      <c r="L3669" s="369" t="s">
        <v>5885</v>
      </c>
      <c r="M3669" s="390">
        <v>46106.757916666669</v>
      </c>
      <c r="N3669" s="366" t="s">
        <v>356</v>
      </c>
      <c r="O3669" s="367" t="s">
        <v>357</v>
      </c>
      <c r="P3669" s="367" t="str">
        <f t="shared" si="144"/>
        <v>Expense</v>
      </c>
      <c r="Q3669" s="366" t="s">
        <v>2309</v>
      </c>
      <c r="R3669" s="366" t="s">
        <v>2310</v>
      </c>
      <c r="S3669" s="366">
        <v>542060</v>
      </c>
    </row>
    <row r="3670" spans="1:19" ht="60" hidden="1" outlineLevel="1">
      <c r="B3670" s="384">
        <v>2026</v>
      </c>
      <c r="C3670" s="384">
        <v>9</v>
      </c>
      <c r="D3670" s="367" t="s">
        <v>5</v>
      </c>
      <c r="E3670" s="367" t="s">
        <v>6</v>
      </c>
      <c r="F3670" s="389" t="s">
        <v>5876</v>
      </c>
      <c r="G3670" s="385">
        <v>46106</v>
      </c>
      <c r="H3670" s="367" t="s">
        <v>14</v>
      </c>
      <c r="I3670" s="368" t="str">
        <f>VLOOKUP(H3670,'[4]Source Codes'!A$2:B$115,2,FALSE)</f>
        <v>AP Warrant Issuance</v>
      </c>
      <c r="J3670" s="412">
        <v>-1289658.67</v>
      </c>
      <c r="K3670" s="385">
        <v>46106</v>
      </c>
      <c r="L3670" s="369" t="s">
        <v>5882</v>
      </c>
      <c r="M3670" s="390">
        <v>46106.757916666669</v>
      </c>
      <c r="N3670" s="366" t="s">
        <v>2185</v>
      </c>
      <c r="O3670" s="367" t="s">
        <v>2631</v>
      </c>
      <c r="P3670" s="367" t="str">
        <f t="shared" si="144"/>
        <v>Expense</v>
      </c>
      <c r="Q3670" s="366" t="s">
        <v>2632</v>
      </c>
      <c r="R3670" s="366" t="s">
        <v>5585</v>
      </c>
      <c r="S3670" s="366">
        <v>209100</v>
      </c>
    </row>
    <row r="3671" spans="1:19" ht="30" hidden="1" outlineLevel="1">
      <c r="B3671" s="384">
        <v>2026</v>
      </c>
      <c r="C3671" s="384">
        <v>9</v>
      </c>
      <c r="D3671" s="367" t="s">
        <v>5</v>
      </c>
      <c r="E3671" s="367" t="s">
        <v>6</v>
      </c>
      <c r="F3671" s="389" t="s">
        <v>5877</v>
      </c>
      <c r="G3671" s="385">
        <v>46108</v>
      </c>
      <c r="H3671" s="367" t="s">
        <v>14</v>
      </c>
      <c r="I3671" s="368" t="str">
        <f>VLOOKUP(H3671,'[4]Source Codes'!A$2:B$115,2,FALSE)</f>
        <v>AP Warrant Issuance</v>
      </c>
      <c r="J3671" s="412">
        <v>-1154798.3799999999</v>
      </c>
      <c r="K3671" s="385">
        <v>46106</v>
      </c>
      <c r="L3671" s="369" t="s">
        <v>5886</v>
      </c>
      <c r="M3671" s="390">
        <v>46106.757916666669</v>
      </c>
      <c r="N3671" s="366" t="s">
        <v>356</v>
      </c>
      <c r="O3671" s="367" t="s">
        <v>368</v>
      </c>
      <c r="P3671" s="367" t="str">
        <f t="shared" si="144"/>
        <v>Expense</v>
      </c>
      <c r="Q3671" s="366" t="s">
        <v>5835</v>
      </c>
      <c r="R3671" s="366" t="s">
        <v>5835</v>
      </c>
      <c r="S3671" s="366" t="s">
        <v>203</v>
      </c>
    </row>
    <row r="3672" spans="1:19" ht="75" hidden="1" outlineLevel="1">
      <c r="B3672" s="384">
        <v>2026</v>
      </c>
      <c r="C3672" s="384">
        <v>9</v>
      </c>
      <c r="D3672" s="367" t="s">
        <v>5</v>
      </c>
      <c r="E3672" s="367" t="s">
        <v>6</v>
      </c>
      <c r="F3672" s="389" t="s">
        <v>5878</v>
      </c>
      <c r="G3672" s="385">
        <v>46105</v>
      </c>
      <c r="H3672" s="367" t="s">
        <v>11</v>
      </c>
      <c r="I3672" s="368" t="str">
        <f>VLOOKUP(H3672,'[4]Source Codes'!A$2:B$115,2,FALSE)</f>
        <v>AR Payments</v>
      </c>
      <c r="J3672" s="412">
        <v>6220159.9500000002</v>
      </c>
      <c r="K3672" s="385">
        <v>46106</v>
      </c>
      <c r="L3672" s="369" t="s">
        <v>5884</v>
      </c>
      <c r="M3672" s="390">
        <v>46106.752233796295</v>
      </c>
      <c r="N3672" s="366" t="s">
        <v>359</v>
      </c>
      <c r="O3672" s="367" t="s">
        <v>357</v>
      </c>
      <c r="P3672" s="367" t="str">
        <f t="shared" si="144"/>
        <v>Revenue</v>
      </c>
      <c r="Q3672" s="366" t="s">
        <v>2157</v>
      </c>
      <c r="R3672" s="366" t="s">
        <v>2157</v>
      </c>
      <c r="S3672" s="366" t="s">
        <v>3159</v>
      </c>
    </row>
    <row r="3673" spans="1:19" ht="30" hidden="1" outlineLevel="1">
      <c r="B3673" s="384">
        <v>2026</v>
      </c>
      <c r="C3673" s="384">
        <v>9</v>
      </c>
      <c r="D3673" s="367" t="s">
        <v>5</v>
      </c>
      <c r="E3673" s="367" t="s">
        <v>6</v>
      </c>
      <c r="F3673" s="389" t="s">
        <v>5879</v>
      </c>
      <c r="G3673" s="385">
        <v>46105</v>
      </c>
      <c r="H3673" s="367" t="s">
        <v>9</v>
      </c>
      <c r="I3673" s="368" t="str">
        <f>VLOOKUP(H3673,'[4]Source Codes'!A$2:B$115,2,FALSE)</f>
        <v>On Line Journal Entries</v>
      </c>
      <c r="J3673" s="412">
        <v>8229128</v>
      </c>
      <c r="K3673" s="385">
        <v>46106</v>
      </c>
      <c r="L3673" s="369" t="s">
        <v>5880</v>
      </c>
      <c r="M3673" s="390">
        <v>46106.60261574074</v>
      </c>
      <c r="N3673" s="366" t="s">
        <v>361</v>
      </c>
      <c r="O3673" s="367" t="s">
        <v>357</v>
      </c>
      <c r="P3673" s="367" t="str">
        <f t="shared" si="144"/>
        <v>Revenue</v>
      </c>
      <c r="Q3673" s="366" t="s">
        <v>2671</v>
      </c>
      <c r="R3673" s="366" t="s">
        <v>5808</v>
      </c>
      <c r="S3673" s="366" t="s">
        <v>5883</v>
      </c>
    </row>
    <row r="3674" spans="1:19" ht="15" collapsed="1">
      <c r="J3674" s="413">
        <f>SUM(J3668:J3673)</f>
        <v>9018825.0100000016</v>
      </c>
    </row>
    <row r="3676" spans="1:19" ht="15">
      <c r="A3676" s="434" t="s">
        <v>5887</v>
      </c>
      <c r="L3676" s="369"/>
    </row>
    <row r="3677" spans="1:19" ht="30" hidden="1" outlineLevel="1">
      <c r="B3677" s="384">
        <v>2026</v>
      </c>
      <c r="C3677" s="384">
        <v>9</v>
      </c>
      <c r="D3677" s="367" t="s">
        <v>5</v>
      </c>
      <c r="E3677" s="367" t="s">
        <v>6</v>
      </c>
      <c r="F3677" s="389" t="s">
        <v>5888</v>
      </c>
      <c r="G3677" s="385">
        <v>46111</v>
      </c>
      <c r="H3677" s="367" t="s">
        <v>14</v>
      </c>
      <c r="I3677" s="368" t="str">
        <f>VLOOKUP(H3677,'[4]Source Codes'!A$2:B$115,2,FALSE)</f>
        <v>AP Warrant Issuance</v>
      </c>
      <c r="J3677" s="412">
        <v>-2534972.9700000002</v>
      </c>
      <c r="K3677" s="385">
        <v>46107</v>
      </c>
      <c r="L3677" s="369" t="s">
        <v>5896</v>
      </c>
      <c r="M3677" s="390">
        <v>46107.757743055554</v>
      </c>
      <c r="N3677" s="366" t="s">
        <v>356</v>
      </c>
      <c r="O3677" s="367" t="s">
        <v>368</v>
      </c>
      <c r="P3677" s="367" t="str">
        <f t="shared" ref="P3677:P3712" si="145">IF(J3677&gt;0,"Revenue",IF(J3677&lt;0,"Expense"))</f>
        <v>Expense</v>
      </c>
      <c r="Q3677" s="366" t="s">
        <v>5835</v>
      </c>
      <c r="R3677" s="366" t="s">
        <v>5835</v>
      </c>
      <c r="S3677" s="366" t="s">
        <v>203</v>
      </c>
    </row>
    <row r="3678" spans="1:19" ht="30" hidden="1" outlineLevel="1">
      <c r="B3678" s="384">
        <v>2026</v>
      </c>
      <c r="C3678" s="384">
        <v>9</v>
      </c>
      <c r="D3678" s="367" t="s">
        <v>5</v>
      </c>
      <c r="E3678" s="367" t="s">
        <v>6</v>
      </c>
      <c r="F3678" s="389" t="s">
        <v>5889</v>
      </c>
      <c r="G3678" s="385">
        <v>46107</v>
      </c>
      <c r="H3678" s="367" t="s">
        <v>14</v>
      </c>
      <c r="I3678" s="368" t="str">
        <f>VLOOKUP(H3678,'[4]Source Codes'!A$2:B$115,2,FALSE)</f>
        <v>AP Warrant Issuance</v>
      </c>
      <c r="J3678" s="412">
        <v>-1177664.44</v>
      </c>
      <c r="K3678" s="385">
        <v>46107</v>
      </c>
      <c r="L3678" s="369" t="s">
        <v>5897</v>
      </c>
      <c r="M3678" s="390">
        <v>46107.757743055554</v>
      </c>
      <c r="N3678" s="366" t="s">
        <v>356</v>
      </c>
      <c r="O3678" s="367" t="s">
        <v>368</v>
      </c>
      <c r="P3678" s="367" t="str">
        <f t="shared" si="145"/>
        <v>Expense</v>
      </c>
      <c r="Q3678" s="366" t="s">
        <v>5835</v>
      </c>
      <c r="R3678" s="366" t="s">
        <v>5835</v>
      </c>
      <c r="S3678" s="366" t="s">
        <v>203</v>
      </c>
    </row>
    <row r="3679" spans="1:19" ht="30" hidden="1" outlineLevel="1">
      <c r="B3679" s="384">
        <v>2026</v>
      </c>
      <c r="C3679" s="384">
        <v>9</v>
      </c>
      <c r="D3679" s="367" t="s">
        <v>5</v>
      </c>
      <c r="E3679" s="367" t="s">
        <v>6</v>
      </c>
      <c r="F3679" s="389" t="s">
        <v>5890</v>
      </c>
      <c r="G3679" s="385">
        <v>46107</v>
      </c>
      <c r="H3679" s="367" t="s">
        <v>14</v>
      </c>
      <c r="I3679" s="368" t="str">
        <f>VLOOKUP(H3679,'[4]Source Codes'!A$2:B$115,2,FALSE)</f>
        <v>AP Warrant Issuance</v>
      </c>
      <c r="J3679" s="412">
        <v>-1013147.69</v>
      </c>
      <c r="K3679" s="385">
        <v>46107</v>
      </c>
      <c r="L3679" s="369" t="s">
        <v>5898</v>
      </c>
      <c r="M3679" s="390">
        <v>46107.757743055554</v>
      </c>
      <c r="N3679" s="366" t="s">
        <v>356</v>
      </c>
      <c r="O3679" s="367" t="s">
        <v>357</v>
      </c>
      <c r="P3679" s="367" t="str">
        <f t="shared" si="145"/>
        <v>Expense</v>
      </c>
      <c r="Q3679" s="366" t="s">
        <v>2309</v>
      </c>
      <c r="R3679" s="366" t="s">
        <v>2310</v>
      </c>
      <c r="S3679" s="366" t="s">
        <v>203</v>
      </c>
    </row>
    <row r="3680" spans="1:19" ht="45" hidden="1" outlineLevel="1">
      <c r="B3680" s="384">
        <v>2026</v>
      </c>
      <c r="C3680" s="384">
        <v>9</v>
      </c>
      <c r="D3680" s="367" t="s">
        <v>5</v>
      </c>
      <c r="E3680" s="367" t="s">
        <v>6</v>
      </c>
      <c r="F3680" s="389" t="s">
        <v>5891</v>
      </c>
      <c r="G3680" s="385">
        <v>46107</v>
      </c>
      <c r="H3680" s="367" t="s">
        <v>12</v>
      </c>
      <c r="I3680" s="368" t="str">
        <f>VLOOKUP(H3680,'[4]Source Codes'!A$2:B$115,2,FALSE)</f>
        <v>AR Direct Cash Journal</v>
      </c>
      <c r="J3680" s="412">
        <v>3479974.75</v>
      </c>
      <c r="K3680" s="385">
        <v>46107</v>
      </c>
      <c r="L3680" s="369" t="s">
        <v>5899</v>
      </c>
      <c r="M3680" s="390">
        <v>46107.752129629633</v>
      </c>
      <c r="N3680" s="368" t="s">
        <v>359</v>
      </c>
      <c r="O3680" s="367" t="s">
        <v>371</v>
      </c>
      <c r="P3680" s="367" t="str">
        <f t="shared" si="145"/>
        <v>Revenue</v>
      </c>
      <c r="Q3680" s="366" t="s">
        <v>2316</v>
      </c>
      <c r="R3680" s="366" t="s">
        <v>5658</v>
      </c>
      <c r="S3680" s="366">
        <v>710020</v>
      </c>
    </row>
    <row r="3681" spans="1:19" ht="45" hidden="1" outlineLevel="1">
      <c r="B3681" s="384">
        <v>2026</v>
      </c>
      <c r="C3681" s="384">
        <v>9</v>
      </c>
      <c r="D3681" s="367" t="s">
        <v>5</v>
      </c>
      <c r="E3681" s="367" t="s">
        <v>6</v>
      </c>
      <c r="F3681" s="389" t="s">
        <v>5892</v>
      </c>
      <c r="G3681" s="385">
        <v>46107</v>
      </c>
      <c r="H3681" s="367" t="s">
        <v>11</v>
      </c>
      <c r="I3681" s="368" t="str">
        <f>VLOOKUP(H3681,'[4]Source Codes'!A$2:B$115,2,FALSE)</f>
        <v>AR Payments</v>
      </c>
      <c r="J3681" s="412">
        <v>1002705.03</v>
      </c>
      <c r="K3681" s="385">
        <v>46107</v>
      </c>
      <c r="L3681" s="369" t="s">
        <v>5900</v>
      </c>
      <c r="M3681" s="390">
        <v>46107.752129629633</v>
      </c>
      <c r="N3681" s="368" t="s">
        <v>359</v>
      </c>
      <c r="O3681" s="367" t="s">
        <v>357</v>
      </c>
      <c r="P3681" s="367" t="str">
        <f t="shared" si="145"/>
        <v>Revenue</v>
      </c>
      <c r="Q3681" s="366" t="s">
        <v>2157</v>
      </c>
      <c r="R3681" s="365" t="s">
        <v>2157</v>
      </c>
      <c r="S3681" s="366" t="s">
        <v>5901</v>
      </c>
    </row>
    <row r="3682" spans="1:19" ht="75" hidden="1" outlineLevel="1">
      <c r="B3682" s="384">
        <v>2026</v>
      </c>
      <c r="C3682" s="384">
        <v>9</v>
      </c>
      <c r="D3682" s="367" t="s">
        <v>5</v>
      </c>
      <c r="E3682" s="367" t="s">
        <v>6</v>
      </c>
      <c r="F3682" s="389" t="s">
        <v>5893</v>
      </c>
      <c r="G3682" s="385">
        <v>46106</v>
      </c>
      <c r="H3682" s="367" t="s">
        <v>11</v>
      </c>
      <c r="I3682" s="368" t="str">
        <f>VLOOKUP(H3682,'[4]Source Codes'!A$2:B$115,2,FALSE)</f>
        <v>AR Payments</v>
      </c>
      <c r="J3682" s="412">
        <v>5247876.2699999996</v>
      </c>
      <c r="K3682" s="385">
        <v>46107</v>
      </c>
      <c r="L3682" s="369" t="s">
        <v>5902</v>
      </c>
      <c r="M3682" s="390">
        <v>46107.752129629633</v>
      </c>
      <c r="N3682" s="368" t="s">
        <v>359</v>
      </c>
      <c r="O3682" s="367" t="s">
        <v>357</v>
      </c>
      <c r="P3682" s="367" t="str">
        <f t="shared" si="145"/>
        <v>Revenue</v>
      </c>
      <c r="Q3682" s="366" t="s">
        <v>2157</v>
      </c>
      <c r="R3682" s="365" t="s">
        <v>2157</v>
      </c>
      <c r="S3682" s="366" t="s">
        <v>2803</v>
      </c>
    </row>
    <row r="3683" spans="1:19" ht="30" hidden="1" outlineLevel="1">
      <c r="B3683" s="384">
        <v>2026</v>
      </c>
      <c r="C3683" s="384">
        <v>9</v>
      </c>
      <c r="D3683" s="367" t="s">
        <v>5</v>
      </c>
      <c r="E3683" s="367" t="s">
        <v>6</v>
      </c>
      <c r="F3683" s="389" t="s">
        <v>5894</v>
      </c>
      <c r="G3683" s="385">
        <v>46100</v>
      </c>
      <c r="H3683" s="367" t="s">
        <v>9</v>
      </c>
      <c r="I3683" s="368" t="str">
        <f>VLOOKUP(H3683,'[4]Source Codes'!A$2:B$115,2,FALSE)</f>
        <v>On Line Journal Entries</v>
      </c>
      <c r="J3683" s="412">
        <v>1821802.9</v>
      </c>
      <c r="K3683" s="385">
        <v>46107</v>
      </c>
      <c r="L3683" s="369" t="s">
        <v>5895</v>
      </c>
      <c r="M3683" s="390">
        <v>46107.870115740741</v>
      </c>
      <c r="N3683" s="366" t="s">
        <v>361</v>
      </c>
      <c r="O3683" s="367" t="s">
        <v>376</v>
      </c>
      <c r="P3683" s="367" t="str">
        <f t="shared" si="145"/>
        <v>Revenue</v>
      </c>
      <c r="Q3683" s="366" t="s">
        <v>5516</v>
      </c>
      <c r="R3683" s="366" t="s">
        <v>4271</v>
      </c>
      <c r="S3683" s="366">
        <v>755901</v>
      </c>
    </row>
    <row r="3684" spans="1:19" ht="15" collapsed="1">
      <c r="I3684" s="368"/>
      <c r="J3684" s="413">
        <f>SUM(J3677:J3683)</f>
        <v>6826573.8499999996</v>
      </c>
      <c r="P3684" s="367"/>
    </row>
    <row r="3685" spans="1:19" ht="12.75" customHeight="1">
      <c r="I3685" s="368"/>
      <c r="P3685" s="367"/>
    </row>
    <row r="3686" spans="1:19" ht="12.75" customHeight="1">
      <c r="A3686" s="434" t="s">
        <v>5903</v>
      </c>
      <c r="I3686" s="368"/>
      <c r="P3686" s="367"/>
    </row>
    <row r="3687" spans="1:19" ht="30" hidden="1" outlineLevel="1">
      <c r="B3687" s="384">
        <v>2026</v>
      </c>
      <c r="C3687" s="384">
        <v>9</v>
      </c>
      <c r="D3687" s="367" t="s">
        <v>5</v>
      </c>
      <c r="E3687" s="367" t="s">
        <v>6</v>
      </c>
      <c r="F3687" s="389" t="s">
        <v>5904</v>
      </c>
      <c r="G3687" s="385">
        <v>46108</v>
      </c>
      <c r="H3687" s="367" t="s">
        <v>11</v>
      </c>
      <c r="I3687" s="368" t="str">
        <f>VLOOKUP(H3687,'[4]Source Codes'!A$2:B$115,2,FALSE)</f>
        <v>AR Payments</v>
      </c>
      <c r="J3687" s="412">
        <v>1809742.38</v>
      </c>
      <c r="K3687" s="385">
        <v>46108</v>
      </c>
      <c r="L3687" s="369" t="s">
        <v>5905</v>
      </c>
      <c r="M3687" s="390">
        <v>46108.752418981479</v>
      </c>
      <c r="N3687" s="366" t="s">
        <v>356</v>
      </c>
      <c r="O3687" s="367" t="s">
        <v>362</v>
      </c>
      <c r="P3687" s="367" t="str">
        <f t="shared" si="145"/>
        <v>Revenue</v>
      </c>
      <c r="Q3687" s="366" t="s">
        <v>3049</v>
      </c>
      <c r="R3687" s="366" t="s">
        <v>3049</v>
      </c>
      <c r="S3687" s="366" t="s">
        <v>5831</v>
      </c>
    </row>
    <row r="3688" spans="1:19" ht="45" hidden="1" outlineLevel="1">
      <c r="B3688" s="384">
        <v>2026</v>
      </c>
      <c r="C3688" s="384">
        <v>9</v>
      </c>
      <c r="D3688" s="367" t="s">
        <v>5</v>
      </c>
      <c r="E3688" s="367" t="s">
        <v>6</v>
      </c>
      <c r="F3688" s="389" t="s">
        <v>5906</v>
      </c>
      <c r="G3688" s="385">
        <v>46104</v>
      </c>
      <c r="H3688" s="367" t="s">
        <v>9</v>
      </c>
      <c r="I3688" s="368" t="str">
        <f>VLOOKUP(H3688,'[4]Source Codes'!A$2:B$115,2,FALSE)</f>
        <v>On Line Journal Entries</v>
      </c>
      <c r="J3688" s="412">
        <v>5998724</v>
      </c>
      <c r="K3688" s="385">
        <v>46108</v>
      </c>
      <c r="L3688" s="369" t="s">
        <v>352</v>
      </c>
      <c r="M3688" s="390">
        <v>46108.870196759257</v>
      </c>
      <c r="N3688" s="366" t="s">
        <v>356</v>
      </c>
      <c r="O3688" s="367" t="s">
        <v>364</v>
      </c>
      <c r="P3688" s="367" t="str">
        <f t="shared" si="145"/>
        <v>Revenue</v>
      </c>
      <c r="Q3688" s="366" t="s">
        <v>2232</v>
      </c>
      <c r="R3688" s="365" t="s">
        <v>2232</v>
      </c>
      <c r="S3688" s="366" t="s">
        <v>2789</v>
      </c>
    </row>
    <row r="3689" spans="1:19" ht="30" hidden="1" outlineLevel="1">
      <c r="B3689" s="384">
        <v>2026</v>
      </c>
      <c r="C3689" s="384">
        <v>9</v>
      </c>
      <c r="D3689" s="367" t="s">
        <v>5</v>
      </c>
      <c r="E3689" s="367" t="s">
        <v>6</v>
      </c>
      <c r="F3689" s="389" t="s">
        <v>5907</v>
      </c>
      <c r="G3689" s="385">
        <v>46104</v>
      </c>
      <c r="H3689" s="367" t="s">
        <v>9</v>
      </c>
      <c r="I3689" s="368" t="str">
        <f>VLOOKUP(H3689,'[4]Source Codes'!A$2:B$115,2,FALSE)</f>
        <v>On Line Journal Entries</v>
      </c>
      <c r="J3689" s="412">
        <v>5043708</v>
      </c>
      <c r="K3689" s="385">
        <v>46108</v>
      </c>
      <c r="L3689" s="369" t="s">
        <v>334</v>
      </c>
      <c r="M3689" s="390">
        <v>46108.870196759257</v>
      </c>
      <c r="N3689" s="366" t="s">
        <v>356</v>
      </c>
      <c r="O3689" s="367" t="s">
        <v>364</v>
      </c>
      <c r="P3689" s="367" t="str">
        <f t="shared" si="145"/>
        <v>Revenue</v>
      </c>
      <c r="Q3689" s="366" t="s">
        <v>2232</v>
      </c>
      <c r="R3689" s="366" t="s">
        <v>2232</v>
      </c>
      <c r="S3689" s="366">
        <v>750741</v>
      </c>
    </row>
    <row r="3690" spans="1:19" ht="12.75" customHeight="1" collapsed="1">
      <c r="I3690" s="368"/>
      <c r="J3690" s="413">
        <f>SUM(J3687:J3689)</f>
        <v>12852174.379999999</v>
      </c>
      <c r="P3690" s="367"/>
    </row>
    <row r="3691" spans="1:19" ht="12.75" customHeight="1">
      <c r="I3691" s="368"/>
      <c r="P3691" s="367"/>
    </row>
    <row r="3692" spans="1:19" ht="12.75" customHeight="1">
      <c r="A3692" s="434" t="s">
        <v>5908</v>
      </c>
      <c r="I3692" s="368"/>
      <c r="P3692" s="367"/>
    </row>
    <row r="3693" spans="1:19" ht="30" hidden="1" outlineLevel="1">
      <c r="B3693" s="384">
        <v>2026</v>
      </c>
      <c r="C3693" s="384">
        <v>10</v>
      </c>
      <c r="D3693" s="367" t="s">
        <v>5</v>
      </c>
      <c r="E3693" s="367" t="s">
        <v>6</v>
      </c>
      <c r="F3693" s="389" t="s">
        <v>5909</v>
      </c>
      <c r="G3693" s="385">
        <v>46113</v>
      </c>
      <c r="H3693" s="367" t="s">
        <v>14</v>
      </c>
      <c r="I3693" s="368" t="str">
        <f>VLOOKUP(H3693,'[4]Source Codes'!A$2:B$115,2,FALSE)</f>
        <v>AP Warrant Issuance</v>
      </c>
      <c r="J3693" s="412">
        <v>-3921851.51</v>
      </c>
      <c r="K3693" s="385">
        <v>46111</v>
      </c>
      <c r="L3693" s="369" t="s">
        <v>5910</v>
      </c>
      <c r="M3693" s="390">
        <v>46111.756539351853</v>
      </c>
      <c r="N3693" s="366" t="s">
        <v>356</v>
      </c>
      <c r="O3693" s="367" t="s">
        <v>368</v>
      </c>
      <c r="P3693" s="367" t="str">
        <f t="shared" si="145"/>
        <v>Expense</v>
      </c>
      <c r="Q3693" s="366" t="s">
        <v>5835</v>
      </c>
      <c r="R3693" s="366" t="s">
        <v>5835</v>
      </c>
      <c r="S3693" s="366" t="s">
        <v>203</v>
      </c>
    </row>
    <row r="3694" spans="1:19" ht="45" hidden="1" outlineLevel="1">
      <c r="B3694" s="384">
        <v>2026</v>
      </c>
      <c r="C3694" s="384">
        <v>9</v>
      </c>
      <c r="D3694" s="367" t="s">
        <v>5</v>
      </c>
      <c r="E3694" s="367" t="s">
        <v>6</v>
      </c>
      <c r="F3694" s="389" t="s">
        <v>5911</v>
      </c>
      <c r="G3694" s="385">
        <v>46111</v>
      </c>
      <c r="H3694" s="367" t="s">
        <v>12</v>
      </c>
      <c r="I3694" s="368" t="str">
        <f>VLOOKUP(H3694,'[4]Source Codes'!A$2:B$115,2,FALSE)</f>
        <v>AR Direct Cash Journal</v>
      </c>
      <c r="J3694" s="412">
        <v>1744495.06</v>
      </c>
      <c r="K3694" s="385">
        <v>46111</v>
      </c>
      <c r="L3694" s="369" t="s">
        <v>5912</v>
      </c>
      <c r="M3694" s="390">
        <v>46111.752187500002</v>
      </c>
      <c r="N3694" s="366" t="s">
        <v>356</v>
      </c>
      <c r="O3694" s="367" t="s">
        <v>371</v>
      </c>
      <c r="P3694" s="367" t="str">
        <f t="shared" si="145"/>
        <v>Revenue</v>
      </c>
      <c r="Q3694" s="366" t="s">
        <v>2346</v>
      </c>
      <c r="R3694" s="366" t="s">
        <v>5913</v>
      </c>
      <c r="S3694" s="366">
        <v>750250</v>
      </c>
    </row>
    <row r="3695" spans="1:19" ht="15" hidden="1" outlineLevel="1">
      <c r="B3695" s="384">
        <v>2026</v>
      </c>
      <c r="C3695" s="384">
        <v>9</v>
      </c>
      <c r="D3695" s="367" t="s">
        <v>5</v>
      </c>
      <c r="E3695" s="367" t="s">
        <v>6</v>
      </c>
      <c r="F3695" s="389" t="s">
        <v>5914</v>
      </c>
      <c r="G3695" s="385">
        <v>46111</v>
      </c>
      <c r="H3695" s="367" t="s">
        <v>110</v>
      </c>
      <c r="I3695" s="368" t="str">
        <f>VLOOKUP(H3695,'[4]Source Codes'!A$2:B$115,2,FALSE)</f>
        <v>Treasurers Interest Apportion</v>
      </c>
      <c r="J3695" s="412">
        <v>21117862.390000001</v>
      </c>
      <c r="K3695" s="385">
        <v>46111</v>
      </c>
      <c r="L3695" s="369" t="s">
        <v>5919</v>
      </c>
      <c r="M3695" s="390">
        <v>46111.462337962963</v>
      </c>
      <c r="N3695" s="366" t="s">
        <v>361</v>
      </c>
      <c r="O3695" s="367" t="s">
        <v>371</v>
      </c>
      <c r="P3695" s="367" t="str">
        <f t="shared" si="145"/>
        <v>Revenue</v>
      </c>
      <c r="Q3695" s="366" t="s">
        <v>2363</v>
      </c>
      <c r="R3695" s="366" t="s">
        <v>5924</v>
      </c>
      <c r="S3695" s="366">
        <v>740020</v>
      </c>
    </row>
    <row r="3696" spans="1:19" ht="15" hidden="1" outlineLevel="1">
      <c r="B3696" s="384">
        <v>2026</v>
      </c>
      <c r="C3696" s="384">
        <v>9</v>
      </c>
      <c r="D3696" s="367" t="s">
        <v>5</v>
      </c>
      <c r="E3696" s="367" t="s">
        <v>6</v>
      </c>
      <c r="F3696" s="389" t="s">
        <v>5915</v>
      </c>
      <c r="G3696" s="385">
        <v>46084</v>
      </c>
      <c r="H3696" s="367" t="s">
        <v>9</v>
      </c>
      <c r="I3696" s="368" t="str">
        <f>VLOOKUP(H3696,'[4]Source Codes'!A$2:B$115,2,FALSE)</f>
        <v>On Line Journal Entries</v>
      </c>
      <c r="J3696" s="412">
        <v>7831214.6699999999</v>
      </c>
      <c r="K3696" s="385">
        <v>46111</v>
      </c>
      <c r="L3696" s="369" t="s">
        <v>5920</v>
      </c>
      <c r="M3696" s="390">
        <v>46111.87</v>
      </c>
      <c r="N3696" s="366" t="s">
        <v>361</v>
      </c>
      <c r="O3696" s="367" t="s">
        <v>376</v>
      </c>
      <c r="P3696" s="367" t="str">
        <f t="shared" si="145"/>
        <v>Revenue</v>
      </c>
      <c r="Q3696" s="366" t="s">
        <v>2657</v>
      </c>
      <c r="R3696" s="366" t="s">
        <v>5079</v>
      </c>
      <c r="S3696" s="366">
        <v>755928</v>
      </c>
    </row>
    <row r="3697" spans="1:19" ht="15" hidden="1" outlineLevel="1">
      <c r="B3697" s="384">
        <v>2026</v>
      </c>
      <c r="C3697" s="384">
        <v>9</v>
      </c>
      <c r="D3697" s="367" t="s">
        <v>5</v>
      </c>
      <c r="E3697" s="367" t="s">
        <v>6</v>
      </c>
      <c r="F3697" s="389" t="s">
        <v>5916</v>
      </c>
      <c r="G3697" s="385">
        <v>46100</v>
      </c>
      <c r="H3697" s="367" t="s">
        <v>9</v>
      </c>
      <c r="I3697" s="368" t="str">
        <f>VLOOKUP(H3697,'[4]Source Codes'!A$2:B$115,2,FALSE)</f>
        <v>On Line Journal Entries</v>
      </c>
      <c r="J3697" s="412">
        <v>3564166.72</v>
      </c>
      <c r="K3697" s="385">
        <v>46111</v>
      </c>
      <c r="L3697" s="369" t="s">
        <v>5921</v>
      </c>
      <c r="M3697" s="390">
        <v>46111.87</v>
      </c>
      <c r="N3697" s="366" t="s">
        <v>361</v>
      </c>
      <c r="O3697" s="367" t="s">
        <v>376</v>
      </c>
      <c r="P3697" s="367" t="str">
        <f t="shared" si="145"/>
        <v>Revenue</v>
      </c>
      <c r="Q3697" s="366" t="s">
        <v>2657</v>
      </c>
      <c r="R3697" s="366" t="s">
        <v>5925</v>
      </c>
      <c r="S3697" s="366">
        <v>755928</v>
      </c>
    </row>
    <row r="3698" spans="1:19" ht="30" hidden="1" outlineLevel="1">
      <c r="B3698" s="384">
        <v>2026</v>
      </c>
      <c r="C3698" s="384">
        <v>9</v>
      </c>
      <c r="D3698" s="367" t="s">
        <v>5</v>
      </c>
      <c r="E3698" s="367" t="s">
        <v>6</v>
      </c>
      <c r="F3698" s="389" t="s">
        <v>5917</v>
      </c>
      <c r="G3698" s="385">
        <v>46104</v>
      </c>
      <c r="H3698" s="367" t="s">
        <v>9</v>
      </c>
      <c r="I3698" s="368" t="str">
        <f>VLOOKUP(H3698,'[4]Source Codes'!A$2:B$115,2,FALSE)</f>
        <v>On Line Journal Entries</v>
      </c>
      <c r="J3698" s="412">
        <v>1600085.84</v>
      </c>
      <c r="K3698" s="385">
        <v>46111</v>
      </c>
      <c r="L3698" s="369" t="s">
        <v>5922</v>
      </c>
      <c r="M3698" s="390">
        <v>46111.87</v>
      </c>
      <c r="N3698" s="366" t="s">
        <v>361</v>
      </c>
      <c r="O3698" s="367" t="s">
        <v>376</v>
      </c>
      <c r="P3698" s="367" t="str">
        <f t="shared" si="145"/>
        <v>Revenue</v>
      </c>
      <c r="Q3698" s="366" t="s">
        <v>2915</v>
      </c>
      <c r="R3698" s="365" t="s">
        <v>5926</v>
      </c>
      <c r="S3698" s="366">
        <v>755180</v>
      </c>
    </row>
    <row r="3699" spans="1:19" ht="30" hidden="1" outlineLevel="1">
      <c r="B3699" s="384">
        <v>2026</v>
      </c>
      <c r="C3699" s="384">
        <v>9</v>
      </c>
      <c r="D3699" s="367" t="s">
        <v>5</v>
      </c>
      <c r="E3699" s="367" t="s">
        <v>6</v>
      </c>
      <c r="F3699" s="389" t="s">
        <v>5918</v>
      </c>
      <c r="G3699" s="385">
        <v>46101</v>
      </c>
      <c r="H3699" s="367" t="s">
        <v>9</v>
      </c>
      <c r="I3699" s="368" t="str">
        <f>VLOOKUP(H3699,'[4]Source Codes'!A$2:B$115,2,FALSE)</f>
        <v>On Line Journal Entries</v>
      </c>
      <c r="J3699" s="412">
        <v>1139700.3899999999</v>
      </c>
      <c r="K3699" s="385">
        <v>46111</v>
      </c>
      <c r="L3699" s="369" t="s">
        <v>5923</v>
      </c>
      <c r="M3699" s="390">
        <v>46111.87</v>
      </c>
      <c r="N3699" s="366" t="s">
        <v>361</v>
      </c>
      <c r="O3699" s="367" t="s">
        <v>376</v>
      </c>
      <c r="P3699" s="367" t="str">
        <f t="shared" si="145"/>
        <v>Revenue</v>
      </c>
      <c r="Q3699" s="366" t="s">
        <v>2915</v>
      </c>
      <c r="R3699" s="365" t="s">
        <v>5927</v>
      </c>
      <c r="S3699" s="366">
        <v>755180</v>
      </c>
    </row>
    <row r="3700" spans="1:19" ht="12.75" customHeight="1" collapsed="1">
      <c r="I3700" s="368"/>
      <c r="J3700" s="413">
        <f>SUM(J3693:J3699)</f>
        <v>33075673.559999999</v>
      </c>
      <c r="P3700" s="367"/>
    </row>
    <row r="3701" spans="1:19" ht="12.75" customHeight="1">
      <c r="I3701" s="368"/>
      <c r="P3701" s="367"/>
    </row>
    <row r="3702" spans="1:19" ht="12.75" customHeight="1">
      <c r="A3702" s="434" t="s">
        <v>5928</v>
      </c>
      <c r="I3702" s="368"/>
      <c r="P3702" s="367"/>
    </row>
    <row r="3703" spans="1:19" ht="30" hidden="1" outlineLevel="1">
      <c r="B3703" s="384">
        <v>2026</v>
      </c>
      <c r="C3703" s="384">
        <v>10</v>
      </c>
      <c r="D3703" s="367" t="s">
        <v>5</v>
      </c>
      <c r="E3703" s="367" t="s">
        <v>6</v>
      </c>
      <c r="F3703" s="389" t="s">
        <v>5929</v>
      </c>
      <c r="G3703" s="385">
        <v>46114</v>
      </c>
      <c r="H3703" s="367" t="s">
        <v>14</v>
      </c>
      <c r="I3703" s="368" t="str">
        <f>VLOOKUP(H3703,'[4]Source Codes'!A$2:B$115,2,FALSE)</f>
        <v>AP Warrant Issuance</v>
      </c>
      <c r="J3703" s="412">
        <v>-1919387.25</v>
      </c>
      <c r="K3703" s="385">
        <v>46112</v>
      </c>
      <c r="L3703" s="369" t="s">
        <v>5930</v>
      </c>
      <c r="M3703" s="390">
        <v>46112.757094907407</v>
      </c>
      <c r="N3703" s="366" t="s">
        <v>356</v>
      </c>
      <c r="O3703" s="367" t="s">
        <v>368</v>
      </c>
      <c r="P3703" s="367" t="str">
        <f t="shared" si="145"/>
        <v>Expense</v>
      </c>
      <c r="Q3703" s="366" t="s">
        <v>5835</v>
      </c>
      <c r="R3703" s="365" t="s">
        <v>5835</v>
      </c>
      <c r="S3703" s="366" t="s">
        <v>203</v>
      </c>
    </row>
    <row r="3704" spans="1:19" ht="30" hidden="1" outlineLevel="1">
      <c r="B3704" s="384">
        <v>2026</v>
      </c>
      <c r="C3704" s="384">
        <v>9</v>
      </c>
      <c r="D3704" s="367" t="s">
        <v>5</v>
      </c>
      <c r="E3704" s="367" t="s">
        <v>6</v>
      </c>
      <c r="F3704" s="389" t="s">
        <v>5931</v>
      </c>
      <c r="G3704" s="385">
        <v>46108</v>
      </c>
      <c r="H3704" s="367" t="s">
        <v>9</v>
      </c>
      <c r="I3704" s="368" t="str">
        <f>VLOOKUP(H3704,'[4]Source Codes'!A$2:B$115,2,FALSE)</f>
        <v>On Line Journal Entries</v>
      </c>
      <c r="J3704" s="412">
        <v>20793146.609999999</v>
      </c>
      <c r="K3704" s="385">
        <v>46112</v>
      </c>
      <c r="L3704" s="369" t="s">
        <v>5939</v>
      </c>
      <c r="M3704" s="390">
        <v>46112.479675925926</v>
      </c>
      <c r="N3704" s="366" t="s">
        <v>356</v>
      </c>
      <c r="O3704" s="367" t="s">
        <v>371</v>
      </c>
      <c r="P3704" s="367" t="str">
        <f t="shared" si="145"/>
        <v>Revenue</v>
      </c>
      <c r="Q3704" s="366" t="s">
        <v>2158</v>
      </c>
      <c r="R3704" s="366" t="s">
        <v>5946</v>
      </c>
      <c r="S3704" s="366">
        <v>755120</v>
      </c>
    </row>
    <row r="3705" spans="1:19" ht="15" hidden="1" outlineLevel="1">
      <c r="B3705" s="384">
        <v>2026</v>
      </c>
      <c r="C3705" s="384">
        <v>9</v>
      </c>
      <c r="D3705" s="367" t="s">
        <v>5</v>
      </c>
      <c r="E3705" s="367" t="s">
        <v>6</v>
      </c>
      <c r="F3705" s="389" t="s">
        <v>5932</v>
      </c>
      <c r="G3705" s="385">
        <v>46105</v>
      </c>
      <c r="H3705" s="367" t="s">
        <v>9</v>
      </c>
      <c r="I3705" s="368" t="str">
        <f>VLOOKUP(H3705,'[4]Source Codes'!A$2:B$115,2,FALSE)</f>
        <v>On Line Journal Entries</v>
      </c>
      <c r="J3705" s="412">
        <v>15000000</v>
      </c>
      <c r="K3705" s="385">
        <v>46112</v>
      </c>
      <c r="L3705" s="369" t="s">
        <v>5940</v>
      </c>
      <c r="M3705" s="390">
        <v>46112.655462962961</v>
      </c>
      <c r="N3705" s="366" t="s">
        <v>507</v>
      </c>
      <c r="O3705" s="367" t="s">
        <v>368</v>
      </c>
      <c r="P3705" s="367" t="str">
        <f t="shared" si="145"/>
        <v>Revenue</v>
      </c>
      <c r="Q3705" s="366" t="s">
        <v>2177</v>
      </c>
      <c r="R3705" s="366" t="s">
        <v>2641</v>
      </c>
      <c r="S3705" s="366">
        <v>755900</v>
      </c>
    </row>
    <row r="3706" spans="1:19" ht="45" hidden="1" outlineLevel="1">
      <c r="B3706" s="384">
        <v>2026</v>
      </c>
      <c r="C3706" s="384">
        <v>9</v>
      </c>
      <c r="D3706" s="367" t="s">
        <v>5</v>
      </c>
      <c r="E3706" s="367" t="s">
        <v>6</v>
      </c>
      <c r="F3706" s="389" t="s">
        <v>5933</v>
      </c>
      <c r="G3706" s="385">
        <v>46108</v>
      </c>
      <c r="H3706" s="367" t="s">
        <v>9</v>
      </c>
      <c r="I3706" s="368" t="str">
        <f>VLOOKUP(H3706,'[4]Source Codes'!A$2:B$115,2,FALSE)</f>
        <v>On Line Journal Entries</v>
      </c>
      <c r="J3706" s="412">
        <v>9986501.4000000004</v>
      </c>
      <c r="K3706" s="385">
        <v>46112</v>
      </c>
      <c r="L3706" s="369" t="s">
        <v>5941</v>
      </c>
      <c r="M3706" s="390">
        <v>46112.453090277777</v>
      </c>
      <c r="N3706" s="366" t="s">
        <v>356</v>
      </c>
      <c r="O3706" s="367" t="s">
        <v>371</v>
      </c>
      <c r="P3706" s="367" t="str">
        <f t="shared" si="145"/>
        <v>Revenue</v>
      </c>
      <c r="Q3706" s="366" t="s">
        <v>2427</v>
      </c>
      <c r="R3706" s="366" t="s">
        <v>5947</v>
      </c>
      <c r="S3706" s="366" t="s">
        <v>2160</v>
      </c>
    </row>
    <row r="3707" spans="1:19" ht="30" hidden="1" outlineLevel="1">
      <c r="B3707" s="384">
        <v>2026</v>
      </c>
      <c r="C3707" s="384">
        <v>9</v>
      </c>
      <c r="D3707" s="367" t="s">
        <v>5</v>
      </c>
      <c r="E3707" s="367" t="s">
        <v>6</v>
      </c>
      <c r="F3707" s="389" t="s">
        <v>5934</v>
      </c>
      <c r="G3707" s="385">
        <v>46099</v>
      </c>
      <c r="H3707" s="367" t="s">
        <v>9</v>
      </c>
      <c r="I3707" s="368" t="str">
        <f>VLOOKUP(H3707,'[4]Source Codes'!A$2:B$115,2,FALSE)</f>
        <v>On Line Journal Entries</v>
      </c>
      <c r="J3707" s="412">
        <v>6543503.5800000001</v>
      </c>
      <c r="K3707" s="385">
        <v>46112</v>
      </c>
      <c r="L3707" s="369" t="s">
        <v>5942</v>
      </c>
      <c r="M3707" s="390">
        <v>46112.585439814815</v>
      </c>
      <c r="N3707" s="366" t="s">
        <v>361</v>
      </c>
      <c r="O3707" s="367" t="s">
        <v>376</v>
      </c>
      <c r="P3707" s="367" t="str">
        <f t="shared" si="145"/>
        <v>Revenue</v>
      </c>
      <c r="Q3707" s="366" t="s">
        <v>4230</v>
      </c>
      <c r="R3707" s="365" t="s">
        <v>5948</v>
      </c>
      <c r="S3707" s="366">
        <v>752403</v>
      </c>
    </row>
    <row r="3708" spans="1:19" ht="60" hidden="1" outlineLevel="1">
      <c r="B3708" s="384">
        <v>2026</v>
      </c>
      <c r="C3708" s="384">
        <v>9</v>
      </c>
      <c r="D3708" s="367" t="s">
        <v>5</v>
      </c>
      <c r="E3708" s="367" t="s">
        <v>6</v>
      </c>
      <c r="F3708" s="389" t="s">
        <v>5935</v>
      </c>
      <c r="G3708" s="385">
        <v>46108</v>
      </c>
      <c r="H3708" s="367" t="s">
        <v>9</v>
      </c>
      <c r="I3708" s="368" t="str">
        <f>VLOOKUP(H3708,'[4]Source Codes'!A$2:B$115,2,FALSE)</f>
        <v>On Line Journal Entries</v>
      </c>
      <c r="J3708" s="412">
        <v>3348859.09</v>
      </c>
      <c r="K3708" s="385">
        <v>46112</v>
      </c>
      <c r="L3708" s="369" t="s">
        <v>5943</v>
      </c>
      <c r="M3708" s="390">
        <v>46112.458194444444</v>
      </c>
      <c r="N3708" s="366" t="s">
        <v>356</v>
      </c>
      <c r="O3708" s="367" t="s">
        <v>371</v>
      </c>
      <c r="P3708" s="367" t="str">
        <f t="shared" si="145"/>
        <v>Revenue</v>
      </c>
      <c r="Q3708" s="366" t="s">
        <v>3577</v>
      </c>
      <c r="R3708" s="366" t="s">
        <v>5949</v>
      </c>
      <c r="S3708" s="366">
        <v>750900</v>
      </c>
    </row>
    <row r="3709" spans="1:19" ht="30" hidden="1" outlineLevel="1">
      <c r="B3709" s="384">
        <v>2026</v>
      </c>
      <c r="C3709" s="384">
        <v>9</v>
      </c>
      <c r="D3709" s="367" t="s">
        <v>5</v>
      </c>
      <c r="E3709" s="367" t="s">
        <v>6</v>
      </c>
      <c r="F3709" s="389" t="s">
        <v>5936</v>
      </c>
      <c r="G3709" s="385">
        <v>46105</v>
      </c>
      <c r="H3709" s="367" t="s">
        <v>9</v>
      </c>
      <c r="I3709" s="368" t="str">
        <f>VLOOKUP(H3709,'[4]Source Codes'!A$2:B$115,2,FALSE)</f>
        <v>On Line Journal Entries</v>
      </c>
      <c r="J3709" s="412">
        <v>3177807.91</v>
      </c>
      <c r="K3709" s="385">
        <v>46112</v>
      </c>
      <c r="L3709" s="369" t="s">
        <v>5944</v>
      </c>
      <c r="M3709" s="390">
        <v>46112.756932870368</v>
      </c>
      <c r="N3709" s="366" t="s">
        <v>361</v>
      </c>
      <c r="O3709" s="367" t="s">
        <v>376</v>
      </c>
      <c r="P3709" s="367" t="str">
        <f t="shared" si="145"/>
        <v>Revenue</v>
      </c>
      <c r="Q3709" s="366" t="s">
        <v>2685</v>
      </c>
      <c r="R3709" s="365" t="s">
        <v>5950</v>
      </c>
      <c r="S3709" s="366">
        <v>755931</v>
      </c>
    </row>
    <row r="3710" spans="1:19" ht="30" hidden="1" outlineLevel="1">
      <c r="B3710" s="384">
        <v>2026</v>
      </c>
      <c r="C3710" s="384">
        <v>9</v>
      </c>
      <c r="D3710" s="367" t="s">
        <v>5</v>
      </c>
      <c r="E3710" s="367" t="s">
        <v>6</v>
      </c>
      <c r="F3710" s="389" t="s">
        <v>5937</v>
      </c>
      <c r="G3710" s="385">
        <v>46091</v>
      </c>
      <c r="H3710" s="367" t="s">
        <v>9</v>
      </c>
      <c r="I3710" s="368" t="str">
        <f>VLOOKUP(H3710,'[4]Source Codes'!A$2:B$115,2,FALSE)</f>
        <v>On Line Journal Entries</v>
      </c>
      <c r="J3710" s="412">
        <v>1597403</v>
      </c>
      <c r="K3710" s="385">
        <v>46112</v>
      </c>
      <c r="L3710" s="369" t="s">
        <v>4617</v>
      </c>
      <c r="M3710" s="390">
        <v>46112.776284722226</v>
      </c>
      <c r="N3710" s="366" t="s">
        <v>2185</v>
      </c>
      <c r="O3710" s="367" t="s">
        <v>1180</v>
      </c>
      <c r="P3710" s="367" t="str">
        <f t="shared" si="145"/>
        <v>Revenue</v>
      </c>
      <c r="Q3710" s="366" t="s">
        <v>4129</v>
      </c>
      <c r="R3710" s="366" t="s">
        <v>4619</v>
      </c>
      <c r="S3710" s="366">
        <v>774760</v>
      </c>
    </row>
    <row r="3711" spans="1:19" ht="15" hidden="1" outlineLevel="1">
      <c r="B3711" s="384">
        <v>2026</v>
      </c>
      <c r="C3711" s="384">
        <v>9</v>
      </c>
      <c r="D3711" s="367" t="s">
        <v>5</v>
      </c>
      <c r="E3711" s="367" t="s">
        <v>6</v>
      </c>
      <c r="F3711" s="389" t="s">
        <v>5938</v>
      </c>
      <c r="G3711" s="385">
        <v>46108</v>
      </c>
      <c r="H3711" s="367" t="s">
        <v>9</v>
      </c>
      <c r="I3711" s="368" t="str">
        <f>VLOOKUP(H3711,'[4]Source Codes'!A$2:B$115,2,FALSE)</f>
        <v>On Line Journal Entries</v>
      </c>
      <c r="J3711" s="412">
        <v>1453405.21</v>
      </c>
      <c r="K3711" s="385">
        <v>46112</v>
      </c>
      <c r="L3711" s="369" t="s">
        <v>5945</v>
      </c>
      <c r="M3711" s="390">
        <v>46112.481122685182</v>
      </c>
      <c r="N3711" s="366" t="s">
        <v>356</v>
      </c>
      <c r="O3711" s="367" t="s">
        <v>371</v>
      </c>
      <c r="P3711" s="367" t="str">
        <f t="shared" si="145"/>
        <v>Revenue</v>
      </c>
      <c r="Q3711" s="366" t="s">
        <v>2164</v>
      </c>
      <c r="R3711" s="393">
        <v>46082</v>
      </c>
      <c r="S3711" s="366">
        <v>755909</v>
      </c>
    </row>
    <row r="3712" spans="1:19" ht="30" hidden="1" outlineLevel="1">
      <c r="B3712" s="384">
        <v>2026</v>
      </c>
      <c r="C3712" s="384">
        <v>9</v>
      </c>
      <c r="D3712" s="367" t="s">
        <v>5</v>
      </c>
      <c r="E3712" s="367" t="s">
        <v>6</v>
      </c>
      <c r="F3712" s="389" t="s">
        <v>5951</v>
      </c>
      <c r="G3712" s="385">
        <v>46086</v>
      </c>
      <c r="H3712" s="367" t="s">
        <v>9</v>
      </c>
      <c r="I3712" s="368" t="str">
        <f>VLOOKUP(H3712,'[4]Source Codes'!A$2:B$115,2,FALSE)</f>
        <v>On Line Journal Entries</v>
      </c>
      <c r="J3712" s="412">
        <v>-1597403</v>
      </c>
      <c r="K3712" s="385">
        <v>46112</v>
      </c>
      <c r="L3712" s="369" t="s">
        <v>5952</v>
      </c>
      <c r="M3712" s="390">
        <v>46112.753576388888</v>
      </c>
      <c r="N3712" s="366" t="s">
        <v>2185</v>
      </c>
      <c r="O3712" s="367" t="s">
        <v>1180</v>
      </c>
      <c r="P3712" s="367" t="str">
        <f t="shared" si="145"/>
        <v>Expense</v>
      </c>
      <c r="Q3712" s="366" t="s">
        <v>4129</v>
      </c>
      <c r="R3712" s="366" t="s">
        <v>5953</v>
      </c>
      <c r="S3712" s="366">
        <v>774760</v>
      </c>
    </row>
    <row r="3713" spans="1:19" ht="15" collapsed="1">
      <c r="J3713" s="413">
        <f>SUM(J3703:J3712)</f>
        <v>58383836.54999999</v>
      </c>
    </row>
    <row r="3715" spans="1:19" ht="12.75" customHeight="1">
      <c r="A3715" s="378" t="s">
        <v>5954</v>
      </c>
    </row>
    <row r="3716" spans="1:19" ht="30" hidden="1" outlineLevel="1">
      <c r="B3716" s="384">
        <v>2026</v>
      </c>
      <c r="C3716" s="384">
        <v>10</v>
      </c>
      <c r="D3716" s="367" t="s">
        <v>5</v>
      </c>
      <c r="E3716" s="367" t="s">
        <v>6</v>
      </c>
      <c r="F3716" s="389" t="s">
        <v>5955</v>
      </c>
      <c r="G3716" s="385">
        <v>46115</v>
      </c>
      <c r="H3716" s="367" t="s">
        <v>14</v>
      </c>
      <c r="I3716" s="368" t="str">
        <f>VLOOKUP(H3716,'[4]Source Codes'!A$2:B$115,2,FALSE)</f>
        <v>AP Warrant Issuance</v>
      </c>
      <c r="J3716" s="412">
        <v>-1194012.26</v>
      </c>
      <c r="K3716" s="385">
        <v>46113</v>
      </c>
      <c r="L3716" s="369" t="s">
        <v>5963</v>
      </c>
      <c r="M3716" s="390">
        <v>46113.760023148148</v>
      </c>
      <c r="N3716" s="366" t="s">
        <v>356</v>
      </c>
      <c r="O3716" s="367" t="s">
        <v>368</v>
      </c>
      <c r="P3716" s="367" t="str">
        <f t="shared" ref="P3716:P3732" si="146">IF(J3716&gt;0,"Revenue",IF(J3716&lt;0,"Expense"))</f>
        <v>Expense</v>
      </c>
      <c r="Q3716" s="366" t="s">
        <v>5835</v>
      </c>
      <c r="R3716" s="366" t="s">
        <v>5835</v>
      </c>
      <c r="S3716" s="366" t="s">
        <v>203</v>
      </c>
    </row>
    <row r="3717" spans="1:19" ht="45" hidden="1" outlineLevel="1">
      <c r="B3717" s="384">
        <v>2026</v>
      </c>
      <c r="C3717" s="384">
        <v>9</v>
      </c>
      <c r="D3717" s="367" t="s">
        <v>5</v>
      </c>
      <c r="E3717" s="367" t="s">
        <v>6</v>
      </c>
      <c r="F3717" s="389" t="s">
        <v>5956</v>
      </c>
      <c r="G3717" s="385">
        <v>46108</v>
      </c>
      <c r="H3717" s="367" t="s">
        <v>12</v>
      </c>
      <c r="I3717" s="368" t="str">
        <f>VLOOKUP(H3717,'[4]Source Codes'!A$2:B$115,2,FALSE)</f>
        <v>AR Direct Cash Journal</v>
      </c>
      <c r="J3717" s="412">
        <v>1192011.01</v>
      </c>
      <c r="K3717" s="385">
        <v>46113</v>
      </c>
      <c r="L3717" s="369" t="s">
        <v>5964</v>
      </c>
      <c r="M3717" s="390">
        <v>46113.752199074072</v>
      </c>
      <c r="N3717" s="366" t="s">
        <v>356</v>
      </c>
      <c r="O3717" s="367" t="s">
        <v>368</v>
      </c>
      <c r="P3717" s="367" t="str">
        <f t="shared" si="146"/>
        <v>Revenue</v>
      </c>
      <c r="Q3717" s="366" t="s">
        <v>2177</v>
      </c>
      <c r="R3717" s="366" t="s">
        <v>5965</v>
      </c>
      <c r="S3717" s="366">
        <v>230100</v>
      </c>
    </row>
    <row r="3718" spans="1:19" ht="30" hidden="1" outlineLevel="1">
      <c r="B3718" s="384">
        <v>2026</v>
      </c>
      <c r="C3718" s="384">
        <v>9</v>
      </c>
      <c r="D3718" s="367" t="s">
        <v>5</v>
      </c>
      <c r="E3718" s="367" t="s">
        <v>6</v>
      </c>
      <c r="F3718" s="389" t="s">
        <v>5957</v>
      </c>
      <c r="G3718" s="385">
        <v>46106</v>
      </c>
      <c r="H3718" s="367" t="s">
        <v>12</v>
      </c>
      <c r="I3718" s="368" t="str">
        <f>VLOOKUP(H3718,'[4]Source Codes'!A$2:B$115,2,FALSE)</f>
        <v>AR Direct Cash Journal</v>
      </c>
      <c r="J3718" s="412">
        <v>1550022.09</v>
      </c>
      <c r="K3718" s="385">
        <v>46113</v>
      </c>
      <c r="L3718" s="369" t="s">
        <v>5966</v>
      </c>
      <c r="M3718" s="390">
        <v>46113.752199074072</v>
      </c>
      <c r="N3718" s="366" t="s">
        <v>359</v>
      </c>
      <c r="O3718" s="367" t="s">
        <v>370</v>
      </c>
      <c r="P3718" s="367" t="str">
        <f t="shared" si="146"/>
        <v>Revenue</v>
      </c>
      <c r="Q3718" s="366" t="s">
        <v>2264</v>
      </c>
      <c r="R3718" s="366" t="s">
        <v>2264</v>
      </c>
      <c r="S3718" s="366" t="s">
        <v>3042</v>
      </c>
    </row>
    <row r="3719" spans="1:19" ht="45" hidden="1" outlineLevel="1">
      <c r="B3719" s="384">
        <v>2026</v>
      </c>
      <c r="C3719" s="384">
        <v>9</v>
      </c>
      <c r="D3719" s="367" t="s">
        <v>5</v>
      </c>
      <c r="E3719" s="367" t="s">
        <v>6</v>
      </c>
      <c r="F3719" s="389" t="s">
        <v>5958</v>
      </c>
      <c r="G3719" s="385">
        <v>46094</v>
      </c>
      <c r="H3719" s="367" t="s">
        <v>12</v>
      </c>
      <c r="I3719" s="368" t="str">
        <f>VLOOKUP(H3719,'[4]Source Codes'!A$2:B$115,2,FALSE)</f>
        <v>AR Direct Cash Journal</v>
      </c>
      <c r="J3719" s="412">
        <v>1760120.9</v>
      </c>
      <c r="K3719" s="385">
        <v>46113</v>
      </c>
      <c r="L3719" s="369" t="s">
        <v>5967</v>
      </c>
      <c r="M3719" s="390">
        <v>46113.752199074072</v>
      </c>
      <c r="N3719" s="366" t="s">
        <v>356</v>
      </c>
      <c r="O3719" s="367" t="s">
        <v>368</v>
      </c>
      <c r="P3719" s="367" t="str">
        <f t="shared" si="146"/>
        <v>Revenue</v>
      </c>
      <c r="Q3719" s="366" t="s">
        <v>2177</v>
      </c>
      <c r="R3719" s="366" t="s">
        <v>5968</v>
      </c>
      <c r="S3719" s="366">
        <v>118403</v>
      </c>
    </row>
    <row r="3720" spans="1:19" ht="60" hidden="1" outlineLevel="1">
      <c r="B3720" s="384">
        <v>2026</v>
      </c>
      <c r="C3720" s="384">
        <v>9</v>
      </c>
      <c r="D3720" s="367" t="s">
        <v>5</v>
      </c>
      <c r="E3720" s="367" t="s">
        <v>6</v>
      </c>
      <c r="F3720" s="389" t="s">
        <v>5959</v>
      </c>
      <c r="G3720" s="385">
        <v>46107</v>
      </c>
      <c r="H3720" s="367" t="s">
        <v>12</v>
      </c>
      <c r="I3720" s="368" t="str">
        <f>VLOOKUP(H3720,'[4]Source Codes'!A$2:B$115,2,FALSE)</f>
        <v>AR Direct Cash Journal</v>
      </c>
      <c r="J3720" s="412">
        <v>3073490.89</v>
      </c>
      <c r="K3720" s="385">
        <v>46113</v>
      </c>
      <c r="L3720" s="369" t="s">
        <v>5969</v>
      </c>
      <c r="M3720" s="390">
        <v>46113.752199074072</v>
      </c>
      <c r="N3720" s="366" t="s">
        <v>359</v>
      </c>
      <c r="O3720" s="367" t="s">
        <v>370</v>
      </c>
      <c r="P3720" s="367" t="str">
        <f t="shared" si="146"/>
        <v>Revenue</v>
      </c>
      <c r="Q3720" s="366" t="s">
        <v>2264</v>
      </c>
      <c r="R3720" s="366" t="s">
        <v>2264</v>
      </c>
      <c r="S3720" s="366" t="s">
        <v>203</v>
      </c>
    </row>
    <row r="3721" spans="1:19" ht="45" hidden="1" outlineLevel="1">
      <c r="B3721" s="384">
        <v>2026</v>
      </c>
      <c r="C3721" s="384">
        <v>9</v>
      </c>
      <c r="D3721" s="367" t="s">
        <v>5</v>
      </c>
      <c r="E3721" s="367" t="s">
        <v>6</v>
      </c>
      <c r="F3721" s="389" t="s">
        <v>5960</v>
      </c>
      <c r="G3721" s="385">
        <v>46087</v>
      </c>
      <c r="H3721" s="367" t="s">
        <v>12</v>
      </c>
      <c r="I3721" s="368" t="str">
        <f>VLOOKUP(H3721,'[4]Source Codes'!A$2:B$115,2,FALSE)</f>
        <v>AR Direct Cash Journal</v>
      </c>
      <c r="J3721" s="412">
        <v>32979257.59</v>
      </c>
      <c r="K3721" s="385">
        <v>46113</v>
      </c>
      <c r="L3721" s="369" t="s">
        <v>5970</v>
      </c>
      <c r="M3721" s="390">
        <v>46113.752199074072</v>
      </c>
      <c r="N3721" s="366" t="s">
        <v>356</v>
      </c>
      <c r="O3721" s="367" t="s">
        <v>368</v>
      </c>
      <c r="P3721" s="367" t="str">
        <f t="shared" si="146"/>
        <v>Revenue</v>
      </c>
      <c r="Q3721" s="366" t="s">
        <v>2177</v>
      </c>
      <c r="R3721" s="366" t="s">
        <v>2214</v>
      </c>
      <c r="S3721" s="366" t="s">
        <v>5238</v>
      </c>
    </row>
    <row r="3722" spans="1:19" ht="15" hidden="1" outlineLevel="1">
      <c r="B3722" s="384">
        <v>2026</v>
      </c>
      <c r="C3722" s="384">
        <v>9</v>
      </c>
      <c r="D3722" s="367" t="s">
        <v>5</v>
      </c>
      <c r="E3722" s="367" t="s">
        <v>6</v>
      </c>
      <c r="F3722" s="389" t="s">
        <v>5961</v>
      </c>
      <c r="G3722" s="385">
        <v>46105</v>
      </c>
      <c r="H3722" s="367" t="s">
        <v>9</v>
      </c>
      <c r="I3722" s="368" t="str">
        <f>VLOOKUP(H3722,'[4]Source Codes'!A$2:B$115,2,FALSE)</f>
        <v>On Line Journal Entries</v>
      </c>
      <c r="J3722" s="412">
        <v>2063465.53</v>
      </c>
      <c r="K3722" s="385">
        <v>46113</v>
      </c>
      <c r="L3722" s="369" t="s">
        <v>5962</v>
      </c>
      <c r="M3722" s="390">
        <v>46113.366944444446</v>
      </c>
      <c r="N3722" s="366" t="s">
        <v>361</v>
      </c>
      <c r="O3722" s="367" t="s">
        <v>376</v>
      </c>
      <c r="P3722" s="367" t="str">
        <f t="shared" si="146"/>
        <v>Revenue</v>
      </c>
      <c r="Q3722" s="366" t="s">
        <v>4230</v>
      </c>
      <c r="R3722" s="366" t="s">
        <v>5971</v>
      </c>
      <c r="S3722" s="366">
        <v>752403</v>
      </c>
    </row>
    <row r="3723" spans="1:19" ht="15" collapsed="1">
      <c r="I3723" s="368"/>
      <c r="J3723" s="413">
        <f>SUM(J3716:J3722)</f>
        <v>41424355.75</v>
      </c>
      <c r="P3723" s="367"/>
    </row>
    <row r="3724" spans="1:19" ht="12.75" customHeight="1">
      <c r="I3724" s="368"/>
      <c r="P3724" s="367"/>
    </row>
    <row r="3725" spans="1:19" ht="12.75" customHeight="1">
      <c r="A3725" s="378" t="s">
        <v>5972</v>
      </c>
      <c r="I3725" s="368"/>
      <c r="P3725" s="367"/>
    </row>
    <row r="3726" spans="1:19" ht="60" hidden="1" outlineLevel="1">
      <c r="B3726" s="384">
        <v>2026</v>
      </c>
      <c r="C3726" s="384">
        <v>10</v>
      </c>
      <c r="D3726" s="367" t="s">
        <v>5</v>
      </c>
      <c r="E3726" s="367" t="s">
        <v>6</v>
      </c>
      <c r="F3726" s="389" t="s">
        <v>5973</v>
      </c>
      <c r="G3726" s="385">
        <v>46114</v>
      </c>
      <c r="H3726" s="367" t="s">
        <v>11</v>
      </c>
      <c r="I3726" s="368" t="str">
        <f>VLOOKUP(H3726,'[4]Source Codes'!A$2:B$115,2,FALSE)</f>
        <v>AR Payments</v>
      </c>
      <c r="J3726" s="412">
        <v>4897655.32</v>
      </c>
      <c r="K3726" s="385">
        <v>46114</v>
      </c>
      <c r="L3726" s="369" t="s">
        <v>5975</v>
      </c>
      <c r="M3726" s="390">
        <v>46114.752071759256</v>
      </c>
      <c r="N3726" s="366" t="s">
        <v>356</v>
      </c>
      <c r="O3726" s="367" t="s">
        <v>357</v>
      </c>
      <c r="P3726" s="367" t="str">
        <f t="shared" si="146"/>
        <v>Revenue</v>
      </c>
      <c r="Q3726" s="366" t="s">
        <v>2157</v>
      </c>
      <c r="R3726" s="366" t="s">
        <v>2157</v>
      </c>
      <c r="S3726" s="366" t="s">
        <v>2278</v>
      </c>
    </row>
    <row r="3727" spans="1:19" ht="75" hidden="1" outlineLevel="1">
      <c r="B3727" s="384">
        <v>2026</v>
      </c>
      <c r="C3727" s="384">
        <v>10</v>
      </c>
      <c r="D3727" s="367" t="s">
        <v>5</v>
      </c>
      <c r="E3727" s="367" t="s">
        <v>6</v>
      </c>
      <c r="F3727" s="389" t="s">
        <v>5974</v>
      </c>
      <c r="G3727" s="385">
        <v>46113</v>
      </c>
      <c r="H3727" s="367" t="s">
        <v>12</v>
      </c>
      <c r="I3727" s="368" t="str">
        <f>VLOOKUP(H3727,'[4]Source Codes'!A$2:B$115,2,FALSE)</f>
        <v>AR Direct Cash Journal</v>
      </c>
      <c r="J3727" s="412">
        <v>9432589.0999999996</v>
      </c>
      <c r="K3727" s="385">
        <v>46114</v>
      </c>
      <c r="L3727" s="369" t="s">
        <v>5976</v>
      </c>
      <c r="M3727" s="390">
        <v>46114.752071759256</v>
      </c>
      <c r="N3727" s="366" t="s">
        <v>356</v>
      </c>
      <c r="O3727" s="367" t="s">
        <v>370</v>
      </c>
      <c r="P3727" s="367" t="str">
        <f t="shared" si="146"/>
        <v>Revenue</v>
      </c>
      <c r="Q3727" s="366" t="s">
        <v>2264</v>
      </c>
      <c r="R3727" s="366" t="s">
        <v>2264</v>
      </c>
      <c r="S3727" s="366" t="s">
        <v>3820</v>
      </c>
    </row>
    <row r="3728" spans="1:19" ht="15" hidden="1" outlineLevel="1">
      <c r="B3728" s="384">
        <v>2026</v>
      </c>
      <c r="C3728" s="384">
        <v>10</v>
      </c>
      <c r="D3728" s="367" t="s">
        <v>5</v>
      </c>
      <c r="E3728" s="367" t="s">
        <v>6</v>
      </c>
      <c r="F3728" s="389" t="s">
        <v>5977</v>
      </c>
      <c r="G3728" s="385">
        <v>46113</v>
      </c>
      <c r="H3728" s="367" t="s">
        <v>337</v>
      </c>
      <c r="I3728" s="368" t="str">
        <f>VLOOKUP(H3728,'[4]Source Codes'!A$2:B$115,2,FALSE)</f>
        <v>Facilities Mngmnt Intfc Jrnls</v>
      </c>
      <c r="J3728" s="412">
        <v>-1174682.03</v>
      </c>
      <c r="K3728" s="385">
        <v>46114</v>
      </c>
      <c r="L3728" s="369" t="s">
        <v>5982</v>
      </c>
      <c r="M3728" s="390">
        <v>46114.728159722225</v>
      </c>
      <c r="N3728" s="366" t="s">
        <v>356</v>
      </c>
      <c r="O3728" s="367" t="s">
        <v>367</v>
      </c>
      <c r="P3728" s="367" t="str">
        <f t="shared" si="146"/>
        <v>Expense</v>
      </c>
      <c r="Q3728" s="366" t="s">
        <v>2337</v>
      </c>
      <c r="R3728" s="366" t="s">
        <v>5984</v>
      </c>
      <c r="S3728" s="366">
        <v>522365</v>
      </c>
    </row>
    <row r="3729" spans="1:19" ht="30" hidden="1" outlineLevel="1">
      <c r="B3729" s="384">
        <v>2026</v>
      </c>
      <c r="C3729" s="384">
        <v>10</v>
      </c>
      <c r="D3729" s="367" t="s">
        <v>5</v>
      </c>
      <c r="E3729" s="367" t="s">
        <v>6</v>
      </c>
      <c r="F3729" s="389" t="s">
        <v>5978</v>
      </c>
      <c r="G3729" s="385">
        <v>46113</v>
      </c>
      <c r="H3729" s="367" t="s">
        <v>9</v>
      </c>
      <c r="I3729" s="368" t="str">
        <f>VLOOKUP(H3729,'[4]Source Codes'!A$2:B$115,2,FALSE)</f>
        <v>On Line Journal Entries</v>
      </c>
      <c r="J3729" s="412">
        <v>-1712372.49</v>
      </c>
      <c r="K3729" s="385">
        <v>46114</v>
      </c>
      <c r="L3729" s="369" t="s">
        <v>5983</v>
      </c>
      <c r="M3729" s="390">
        <v>46114.557372685187</v>
      </c>
      <c r="N3729" s="366" t="s">
        <v>356</v>
      </c>
      <c r="O3729" s="367" t="s">
        <v>373</v>
      </c>
      <c r="P3729" s="367" t="str">
        <f t="shared" si="146"/>
        <v>Expense</v>
      </c>
      <c r="Q3729" s="366" t="s">
        <v>2476</v>
      </c>
      <c r="R3729" s="366" t="s">
        <v>5985</v>
      </c>
      <c r="S3729" s="366">
        <v>520945</v>
      </c>
    </row>
    <row r="3730" spans="1:19" ht="15" hidden="1" outlineLevel="1">
      <c r="B3730" s="384">
        <v>2026</v>
      </c>
      <c r="C3730" s="384">
        <v>10</v>
      </c>
      <c r="D3730" s="367" t="s">
        <v>5</v>
      </c>
      <c r="E3730" s="367" t="s">
        <v>6</v>
      </c>
      <c r="F3730" s="389" t="s">
        <v>5979</v>
      </c>
      <c r="G3730" s="385">
        <v>46113</v>
      </c>
      <c r="H3730" s="367" t="s">
        <v>7</v>
      </c>
      <c r="I3730" s="368" t="str">
        <f>VLOOKUP(H3730,'[4]Source Codes'!A$2:B$115,2,FALSE)</f>
        <v>HRMS Interface Journals</v>
      </c>
      <c r="J3730" s="412">
        <v>-2697548.18</v>
      </c>
      <c r="K3730" s="385">
        <v>46114</v>
      </c>
      <c r="L3730" s="369" t="s">
        <v>409</v>
      </c>
      <c r="M3730" s="390">
        <v>46114.333078703705</v>
      </c>
      <c r="N3730" s="366" t="s">
        <v>378</v>
      </c>
      <c r="O3730" s="367" t="s">
        <v>379</v>
      </c>
      <c r="P3730" s="367" t="str">
        <f t="shared" si="146"/>
        <v>Expense</v>
      </c>
      <c r="Q3730" s="366" t="s">
        <v>379</v>
      </c>
      <c r="R3730" s="366" t="s">
        <v>5986</v>
      </c>
      <c r="S3730" s="366">
        <v>513120</v>
      </c>
    </row>
    <row r="3731" spans="1:19" ht="15" hidden="1" outlineLevel="1">
      <c r="B3731" s="384">
        <v>2026</v>
      </c>
      <c r="C3731" s="384">
        <v>10</v>
      </c>
      <c r="D3731" s="367" t="s">
        <v>5</v>
      </c>
      <c r="E3731" s="367" t="s">
        <v>6</v>
      </c>
      <c r="F3731" s="389" t="s">
        <v>5980</v>
      </c>
      <c r="G3731" s="385">
        <v>46113</v>
      </c>
      <c r="H3731" s="367" t="s">
        <v>7</v>
      </c>
      <c r="I3731" s="368" t="str">
        <f>VLOOKUP(H3731,'[4]Source Codes'!A$2:B$115,2,FALSE)</f>
        <v>HRMS Interface Journals</v>
      </c>
      <c r="J3731" s="412">
        <v>-13647601.6</v>
      </c>
      <c r="K3731" s="385">
        <v>46114</v>
      </c>
      <c r="L3731" s="369" t="s">
        <v>407</v>
      </c>
      <c r="M3731" s="390">
        <v>46114.327048611114</v>
      </c>
      <c r="N3731" s="366" t="s">
        <v>378</v>
      </c>
      <c r="O3731" s="367" t="s">
        <v>379</v>
      </c>
      <c r="P3731" s="367" t="str">
        <f t="shared" si="146"/>
        <v>Expense</v>
      </c>
      <c r="Q3731" s="366" t="s">
        <v>379</v>
      </c>
      <c r="R3731" s="366" t="s">
        <v>5986</v>
      </c>
      <c r="S3731" s="366" t="s">
        <v>203</v>
      </c>
    </row>
    <row r="3732" spans="1:19" ht="15" hidden="1" outlineLevel="1">
      <c r="B3732" s="384">
        <v>2026</v>
      </c>
      <c r="C3732" s="384">
        <v>10</v>
      </c>
      <c r="D3732" s="367" t="s">
        <v>5</v>
      </c>
      <c r="E3732" s="367" t="s">
        <v>6</v>
      </c>
      <c r="F3732" s="389" t="s">
        <v>5981</v>
      </c>
      <c r="G3732" s="385">
        <v>46113</v>
      </c>
      <c r="H3732" s="367" t="s">
        <v>7</v>
      </c>
      <c r="I3732" s="368" t="str">
        <f>VLOOKUP(H3732,'[4]Source Codes'!A$2:B$115,2,FALSE)</f>
        <v>HRMS Interface Journals</v>
      </c>
      <c r="J3732" s="412">
        <v>-76538972.730000004</v>
      </c>
      <c r="K3732" s="385">
        <v>46114</v>
      </c>
      <c r="L3732" s="369" t="s">
        <v>406</v>
      </c>
      <c r="M3732" s="390">
        <v>46114.332037037035</v>
      </c>
      <c r="N3732" s="366" t="s">
        <v>378</v>
      </c>
      <c r="O3732" s="367" t="s">
        <v>371</v>
      </c>
      <c r="P3732" s="367" t="str">
        <f t="shared" si="146"/>
        <v>Expense</v>
      </c>
      <c r="Q3732" s="366" t="s">
        <v>379</v>
      </c>
      <c r="R3732" s="366" t="s">
        <v>5986</v>
      </c>
      <c r="S3732" s="366" t="s">
        <v>203</v>
      </c>
    </row>
    <row r="3733" spans="1:19" ht="12.75" customHeight="1" collapsed="1">
      <c r="J3733" s="413">
        <f>SUM(J3726:J3732)</f>
        <v>-81440932.609999999</v>
      </c>
    </row>
    <row r="3735" spans="1:19" ht="12.75" customHeight="1">
      <c r="A3735" s="378" t="s">
        <v>5987</v>
      </c>
    </row>
    <row r="3736" spans="1:19" ht="75" hidden="1" outlineLevel="1">
      <c r="B3736" s="384">
        <v>2026</v>
      </c>
      <c r="C3736" s="384">
        <v>10</v>
      </c>
      <c r="D3736" s="367" t="s">
        <v>5</v>
      </c>
      <c r="E3736" s="367" t="s">
        <v>6</v>
      </c>
      <c r="F3736" s="389" t="s">
        <v>5988</v>
      </c>
      <c r="G3736" s="385">
        <v>46119</v>
      </c>
      <c r="H3736" s="367" t="s">
        <v>14</v>
      </c>
      <c r="I3736" s="368" t="str">
        <f>VLOOKUP(H3736,'[4]Source Codes'!A$2:B$115,2,FALSE)</f>
        <v>AP Warrant Issuance</v>
      </c>
      <c r="J3736" s="412">
        <v>-3175678.34</v>
      </c>
      <c r="K3736" s="385">
        <v>46115</v>
      </c>
      <c r="L3736" s="369" t="s">
        <v>5993</v>
      </c>
      <c r="M3736" s="390">
        <v>46115.783634259256</v>
      </c>
      <c r="N3736" s="366" t="s">
        <v>361</v>
      </c>
      <c r="O3736" s="367" t="s">
        <v>358</v>
      </c>
      <c r="P3736" s="367" t="str">
        <f t="shared" ref="P3736:P3738" si="147">IF(J3736&gt;0,"Revenue",IF(J3736&lt;0,"Expense"))</f>
        <v>Expense</v>
      </c>
      <c r="Q3736" s="366" t="s">
        <v>4462</v>
      </c>
      <c r="R3736" s="366" t="s">
        <v>5991</v>
      </c>
      <c r="S3736" s="366">
        <v>536200</v>
      </c>
    </row>
    <row r="3737" spans="1:19" ht="60" hidden="1" outlineLevel="1">
      <c r="B3737" s="384">
        <v>2026</v>
      </c>
      <c r="C3737" s="384">
        <v>10</v>
      </c>
      <c r="D3737" s="367" t="s">
        <v>5</v>
      </c>
      <c r="E3737" s="367" t="s">
        <v>6</v>
      </c>
      <c r="F3737" s="389" t="s">
        <v>5989</v>
      </c>
      <c r="G3737" s="385">
        <v>46115</v>
      </c>
      <c r="H3737" s="367" t="s">
        <v>14</v>
      </c>
      <c r="I3737" s="368" t="str">
        <f>VLOOKUP(H3737,'[4]Source Codes'!A$2:B$115,2,FALSE)</f>
        <v>AP Warrant Issuance</v>
      </c>
      <c r="J3737" s="412">
        <v>-1424741.96</v>
      </c>
      <c r="K3737" s="385">
        <v>46115</v>
      </c>
      <c r="L3737" s="369" t="s">
        <v>5992</v>
      </c>
      <c r="M3737" s="390">
        <v>46115.783634259256</v>
      </c>
      <c r="N3737" s="366" t="s">
        <v>361</v>
      </c>
      <c r="O3737" s="367" t="s">
        <v>358</v>
      </c>
      <c r="P3737" s="367" t="str">
        <f t="shared" si="147"/>
        <v>Expense</v>
      </c>
      <c r="Q3737" s="366" t="s">
        <v>4462</v>
      </c>
      <c r="R3737" s="366" t="s">
        <v>5994</v>
      </c>
      <c r="S3737" s="366">
        <v>536200</v>
      </c>
    </row>
    <row r="3738" spans="1:19" ht="75" hidden="1" outlineLevel="1">
      <c r="B3738" s="384">
        <v>2026</v>
      </c>
      <c r="C3738" s="384">
        <v>10</v>
      </c>
      <c r="D3738" s="367" t="s">
        <v>5</v>
      </c>
      <c r="E3738" s="367" t="s">
        <v>6</v>
      </c>
      <c r="F3738" s="389" t="s">
        <v>5990</v>
      </c>
      <c r="G3738" s="385">
        <v>46115</v>
      </c>
      <c r="H3738" s="367" t="s">
        <v>11</v>
      </c>
      <c r="I3738" s="368" t="str">
        <f>VLOOKUP(H3738,'[4]Source Codes'!A$2:B$115,2,FALSE)</f>
        <v>AR Payments</v>
      </c>
      <c r="J3738" s="412">
        <v>1323257.81</v>
      </c>
      <c r="K3738" s="385">
        <v>46115</v>
      </c>
      <c r="L3738" s="369" t="s">
        <v>5995</v>
      </c>
      <c r="M3738" s="390">
        <v>46115.751840277779</v>
      </c>
      <c r="N3738" s="366" t="s">
        <v>356</v>
      </c>
      <c r="O3738" s="367" t="s">
        <v>357</v>
      </c>
      <c r="P3738" s="367" t="str">
        <f t="shared" si="147"/>
        <v>Revenue</v>
      </c>
      <c r="Q3738" s="366" t="s">
        <v>2157</v>
      </c>
      <c r="R3738" s="366" t="s">
        <v>2157</v>
      </c>
      <c r="S3738" s="366" t="s">
        <v>3863</v>
      </c>
    </row>
    <row r="3739" spans="1:19" ht="12.75" customHeight="1" collapsed="1">
      <c r="J3739" s="413">
        <f>SUM(J3736:J3738)</f>
        <v>-3277162.4899999998</v>
      </c>
    </row>
    <row r="3741" spans="1:19" ht="12.75" customHeight="1">
      <c r="A3741" s="378" t="s">
        <v>5996</v>
      </c>
    </row>
    <row r="3742" spans="1:19" ht="60" hidden="1" outlineLevel="1">
      <c r="B3742" s="384">
        <v>2026</v>
      </c>
      <c r="C3742" s="384">
        <v>10</v>
      </c>
      <c r="D3742" s="367" t="s">
        <v>5</v>
      </c>
      <c r="E3742" s="367" t="s">
        <v>6</v>
      </c>
      <c r="F3742" s="389" t="s">
        <v>5997</v>
      </c>
      <c r="G3742" s="385">
        <v>46121</v>
      </c>
      <c r="H3742" s="367" t="s">
        <v>14</v>
      </c>
      <c r="I3742" s="368" t="str">
        <f>VLOOKUP(H3742,'[4]Source Codes'!A$2:B$115,2,FALSE)</f>
        <v>AP Warrant Issuance</v>
      </c>
      <c r="J3742" s="412">
        <v>-9387111.9199999999</v>
      </c>
      <c r="K3742" s="385">
        <v>46119</v>
      </c>
      <c r="L3742" s="369" t="s">
        <v>5998</v>
      </c>
      <c r="M3742" s="390">
        <v>46119.758888888886</v>
      </c>
      <c r="N3742" s="366" t="s">
        <v>356</v>
      </c>
      <c r="O3742" s="367" t="s">
        <v>364</v>
      </c>
      <c r="P3742" s="367" t="str">
        <f t="shared" ref="P3742" si="148">IF(J3742&gt;0,"Revenue",IF(J3742&lt;0,"Expense"))</f>
        <v>Expense</v>
      </c>
      <c r="Q3742" s="366" t="s">
        <v>5999</v>
      </c>
      <c r="R3742" s="365">
        <v>46113</v>
      </c>
      <c r="S3742" s="366">
        <v>530440</v>
      </c>
    </row>
    <row r="3743" spans="1:19" ht="12.75" customHeight="1" collapsed="1">
      <c r="J3743" s="413">
        <f>SUM(J3742)</f>
        <v>-9387111.9199999999</v>
      </c>
    </row>
    <row r="3745" spans="1:19" ht="12.75" customHeight="1">
      <c r="A3745" s="378" t="s">
        <v>6000</v>
      </c>
    </row>
    <row r="3746" spans="1:19" ht="60" hidden="1" outlineLevel="1">
      <c r="B3746" s="384">
        <v>2026</v>
      </c>
      <c r="C3746" s="384">
        <v>10</v>
      </c>
      <c r="D3746" s="367" t="s">
        <v>5</v>
      </c>
      <c r="E3746" s="367" t="s">
        <v>6</v>
      </c>
      <c r="F3746" s="389" t="s">
        <v>6001</v>
      </c>
      <c r="G3746" s="385">
        <v>46122</v>
      </c>
      <c r="H3746" s="367" t="s">
        <v>14</v>
      </c>
      <c r="I3746" s="368" t="str">
        <f>VLOOKUP(H3746,'[4]Source Codes'!A$2:B$115,2,FALSE)</f>
        <v>AP Warrant Issuance</v>
      </c>
      <c r="J3746" s="412">
        <v>-5972101.9900000002</v>
      </c>
      <c r="K3746" s="385">
        <v>46120</v>
      </c>
      <c r="L3746" s="369" t="s">
        <v>6003</v>
      </c>
      <c r="M3746" s="390">
        <v>46120.760254629633</v>
      </c>
      <c r="N3746" s="366" t="s">
        <v>359</v>
      </c>
      <c r="O3746" s="367" t="s">
        <v>364</v>
      </c>
      <c r="P3746" s="367" t="str">
        <f t="shared" ref="P3746:P3747" si="149">IF(J3746&gt;0,"Revenue",IF(J3746&lt;0,"Expense"))</f>
        <v>Expense</v>
      </c>
      <c r="Q3746" s="366" t="s">
        <v>2254</v>
      </c>
      <c r="R3746" s="365">
        <v>46113</v>
      </c>
      <c r="S3746" s="366">
        <v>530440</v>
      </c>
    </row>
    <row r="3747" spans="1:19" ht="30" hidden="1" outlineLevel="1">
      <c r="B3747" s="384">
        <v>2026</v>
      </c>
      <c r="C3747" s="384">
        <v>10</v>
      </c>
      <c r="D3747" s="367" t="s">
        <v>5</v>
      </c>
      <c r="E3747" s="367" t="s">
        <v>6</v>
      </c>
      <c r="F3747" s="389" t="s">
        <v>6002</v>
      </c>
      <c r="G3747" s="385">
        <v>46120</v>
      </c>
      <c r="H3747" s="367" t="s">
        <v>14</v>
      </c>
      <c r="I3747" s="368" t="str">
        <f>VLOOKUP(H3747,'[4]Source Codes'!A$2:B$115,2,FALSE)</f>
        <v>AP Warrant Issuance</v>
      </c>
      <c r="J3747" s="412">
        <v>-1297574.8799999999</v>
      </c>
      <c r="K3747" s="385">
        <v>46120</v>
      </c>
      <c r="L3747" s="369" t="s">
        <v>6004</v>
      </c>
      <c r="M3747" s="390">
        <v>46120.760254629633</v>
      </c>
      <c r="N3747" s="366" t="s">
        <v>356</v>
      </c>
      <c r="O3747" s="367" t="s">
        <v>368</v>
      </c>
      <c r="P3747" s="367" t="str">
        <f t="shared" si="149"/>
        <v>Expense</v>
      </c>
      <c r="Q3747" s="366" t="s">
        <v>5835</v>
      </c>
      <c r="R3747" s="366" t="s">
        <v>5835</v>
      </c>
      <c r="S3747" s="366" t="s">
        <v>203</v>
      </c>
    </row>
    <row r="3748" spans="1:19" ht="12.75" customHeight="1" collapsed="1">
      <c r="J3748" s="413">
        <f>SUM(J3746:J3747)</f>
        <v>-7269676.8700000001</v>
      </c>
    </row>
    <row r="3750" spans="1:19" ht="12.75" customHeight="1">
      <c r="A3750" s="378" t="s">
        <v>6005</v>
      </c>
    </row>
    <row r="3751" spans="1:19" ht="45" hidden="1" outlineLevel="1">
      <c r="B3751" s="384">
        <v>2026</v>
      </c>
      <c r="C3751" s="384">
        <v>10</v>
      </c>
      <c r="D3751" s="367" t="s">
        <v>5</v>
      </c>
      <c r="E3751" s="367" t="s">
        <v>6</v>
      </c>
      <c r="F3751" s="389" t="s">
        <v>6006</v>
      </c>
      <c r="G3751" s="385">
        <v>46121</v>
      </c>
      <c r="H3751" s="367" t="s">
        <v>9</v>
      </c>
      <c r="I3751" s="368" t="str">
        <f>VLOOKUP(H3751,'[4]Source Codes'!A$2:B$115,2,FALSE)</f>
        <v>On Line Journal Entries</v>
      </c>
      <c r="J3751" s="412">
        <v>-1000000</v>
      </c>
      <c r="K3751" s="385">
        <v>46121</v>
      </c>
      <c r="L3751" s="369" t="s">
        <v>6007</v>
      </c>
      <c r="M3751" s="390">
        <v>46121.533807870372</v>
      </c>
      <c r="N3751" s="366" t="s">
        <v>2185</v>
      </c>
      <c r="O3751" s="367" t="s">
        <v>358</v>
      </c>
      <c r="P3751" s="367" t="str">
        <f t="shared" ref="P3751" si="150">IF(J3751&gt;0,"Revenue",IF(J3751&lt;0,"Expense"))</f>
        <v>Expense</v>
      </c>
      <c r="Q3751" s="366" t="s">
        <v>6009</v>
      </c>
      <c r="R3751" s="365" t="s">
        <v>6008</v>
      </c>
      <c r="S3751" s="366">
        <v>551100</v>
      </c>
    </row>
    <row r="3752" spans="1:19" ht="15" collapsed="1">
      <c r="J3752" s="413">
        <f>SUM(J3751)</f>
        <v>-1000000</v>
      </c>
    </row>
    <row r="3754" spans="1:19" ht="12.75" customHeight="1">
      <c r="A3754" s="378" t="s">
        <v>6010</v>
      </c>
    </row>
    <row r="3755" spans="1:19" ht="30" hidden="1" outlineLevel="1">
      <c r="B3755" s="384">
        <v>2026</v>
      </c>
      <c r="C3755" s="384">
        <v>10</v>
      </c>
      <c r="D3755" s="367" t="s">
        <v>5</v>
      </c>
      <c r="E3755" s="367" t="s">
        <v>6</v>
      </c>
      <c r="F3755" s="389" t="s">
        <v>6011</v>
      </c>
      <c r="G3755" s="385">
        <v>46122</v>
      </c>
      <c r="H3755" s="367" t="s">
        <v>14</v>
      </c>
      <c r="I3755" s="368" t="str">
        <f>VLOOKUP(H3755,'[4]Source Codes'!A$2:B$115,2,FALSE)</f>
        <v>AP Warrant Issuance</v>
      </c>
      <c r="J3755" s="412">
        <v>-1143196.96</v>
      </c>
      <c r="K3755" s="385">
        <v>46122</v>
      </c>
      <c r="L3755" s="369" t="s">
        <v>6013</v>
      </c>
      <c r="M3755" s="390">
        <v>46122.757488425923</v>
      </c>
      <c r="N3755" s="366" t="s">
        <v>356</v>
      </c>
      <c r="O3755" s="367" t="s">
        <v>357</v>
      </c>
      <c r="P3755" s="367" t="str">
        <f t="shared" ref="P3755:P3756" si="151">IF(J3755&gt;0,"Revenue",IF(J3755&lt;0,"Expense"))</f>
        <v>Expense</v>
      </c>
      <c r="Q3755" s="366" t="s">
        <v>2309</v>
      </c>
      <c r="R3755" s="366" t="s">
        <v>2310</v>
      </c>
      <c r="S3755" s="366" t="s">
        <v>203</v>
      </c>
    </row>
    <row r="3756" spans="1:19" ht="60" hidden="1" outlineLevel="1">
      <c r="B3756" s="384">
        <v>2026</v>
      </c>
      <c r="C3756" s="384">
        <v>10</v>
      </c>
      <c r="D3756" s="367" t="s">
        <v>5</v>
      </c>
      <c r="E3756" s="367" t="s">
        <v>6</v>
      </c>
      <c r="F3756" s="389" t="s">
        <v>6012</v>
      </c>
      <c r="G3756" s="385">
        <v>46121</v>
      </c>
      <c r="H3756" s="367" t="s">
        <v>12</v>
      </c>
      <c r="I3756" s="368" t="str">
        <f>VLOOKUP(H3756,'[4]Source Codes'!A$2:B$115,2,FALSE)</f>
        <v>AR Direct Cash Journal</v>
      </c>
      <c r="J3756" s="412">
        <v>2090412.3</v>
      </c>
      <c r="K3756" s="385">
        <v>46122</v>
      </c>
      <c r="L3756" s="369" t="s">
        <v>6015</v>
      </c>
      <c r="M3756" s="390">
        <v>46122.752280092594</v>
      </c>
      <c r="N3756" s="366" t="s">
        <v>356</v>
      </c>
      <c r="O3756" s="367" t="s">
        <v>370</v>
      </c>
      <c r="P3756" s="367" t="str">
        <f t="shared" si="151"/>
        <v>Revenue</v>
      </c>
      <c r="Q3756" s="366" t="s">
        <v>2264</v>
      </c>
      <c r="R3756" s="366" t="s">
        <v>2264</v>
      </c>
      <c r="S3756" s="366" t="s">
        <v>6014</v>
      </c>
    </row>
    <row r="3757" spans="1:19" ht="15" collapsed="1">
      <c r="J3757" s="413">
        <f>SUM(J3755:J3756)</f>
        <v>947215.34000000008</v>
      </c>
    </row>
    <row r="3759" spans="1:19" ht="12.75" customHeight="1">
      <c r="A3759" s="378" t="s">
        <v>6016</v>
      </c>
    </row>
    <row r="3760" spans="1:19" ht="30" hidden="1" outlineLevel="1">
      <c r="B3760" s="384">
        <v>2026</v>
      </c>
      <c r="C3760" s="384">
        <v>10</v>
      </c>
      <c r="D3760" s="367" t="s">
        <v>5</v>
      </c>
      <c r="E3760" s="367" t="s">
        <v>6</v>
      </c>
      <c r="F3760" s="389" t="s">
        <v>6017</v>
      </c>
      <c r="G3760" s="385">
        <v>46122</v>
      </c>
      <c r="H3760" s="367" t="s">
        <v>12</v>
      </c>
      <c r="I3760" s="368" t="str">
        <f>VLOOKUP(H3760,'[4]Source Codes'!A$2:B$115,2,FALSE)</f>
        <v>AR Direct Cash Journal</v>
      </c>
      <c r="J3760" s="412">
        <v>4398835</v>
      </c>
      <c r="K3760" s="385">
        <v>46125</v>
      </c>
      <c r="L3760" s="369" t="s">
        <v>6022</v>
      </c>
      <c r="M3760" s="390">
        <v>46125.751921296294</v>
      </c>
      <c r="N3760" s="366" t="s">
        <v>359</v>
      </c>
      <c r="O3760" s="367" t="s">
        <v>369</v>
      </c>
      <c r="P3760" s="367" t="str">
        <f t="shared" ref="P3760:P3762" si="152">IF(J3760&gt;0,"Revenue",IF(J3760&lt;0,"Expense"))</f>
        <v>Revenue</v>
      </c>
      <c r="Q3760" s="366" t="s">
        <v>2268</v>
      </c>
      <c r="R3760" s="365">
        <v>46113</v>
      </c>
      <c r="S3760" s="366">
        <v>230135</v>
      </c>
    </row>
    <row r="3761" spans="1:19" ht="30" hidden="1" outlineLevel="1">
      <c r="B3761" s="384">
        <v>2026</v>
      </c>
      <c r="C3761" s="384">
        <v>10</v>
      </c>
      <c r="D3761" s="367" t="s">
        <v>5</v>
      </c>
      <c r="E3761" s="367" t="s">
        <v>6</v>
      </c>
      <c r="F3761" s="389" t="s">
        <v>6018</v>
      </c>
      <c r="G3761" s="385">
        <v>46125</v>
      </c>
      <c r="H3761" s="367" t="s">
        <v>11</v>
      </c>
      <c r="I3761" s="368" t="str">
        <f>VLOOKUP(H3761,'[4]Source Codes'!A$2:B$115,2,FALSE)</f>
        <v>AR Payments</v>
      </c>
      <c r="J3761" s="412">
        <v>1445809.88</v>
      </c>
      <c r="K3761" s="385">
        <v>46125</v>
      </c>
      <c r="L3761" s="369" t="s">
        <v>2187</v>
      </c>
      <c r="M3761" s="390">
        <v>46125.751921296294</v>
      </c>
      <c r="N3761" s="366" t="s">
        <v>359</v>
      </c>
      <c r="O3761" s="367" t="s">
        <v>357</v>
      </c>
      <c r="P3761" s="367" t="str">
        <f t="shared" si="152"/>
        <v>Revenue</v>
      </c>
      <c r="Q3761" s="366" t="s">
        <v>2157</v>
      </c>
      <c r="R3761" s="366" t="s">
        <v>2157</v>
      </c>
      <c r="S3761" s="366">
        <v>118501</v>
      </c>
    </row>
    <row r="3762" spans="1:19" ht="30" hidden="1" outlineLevel="1">
      <c r="B3762" s="384">
        <v>2026</v>
      </c>
      <c r="C3762" s="384">
        <v>10</v>
      </c>
      <c r="D3762" s="367" t="s">
        <v>5</v>
      </c>
      <c r="E3762" s="367" t="s">
        <v>6</v>
      </c>
      <c r="F3762" s="389" t="s">
        <v>6019</v>
      </c>
      <c r="G3762" s="385">
        <v>46121</v>
      </c>
      <c r="H3762" s="367" t="s">
        <v>16</v>
      </c>
      <c r="I3762" s="368" t="str">
        <f>VLOOKUP(H3762,'[4]Source Codes'!A$2:B$115,2,FALSE)</f>
        <v>Property Tax Interface</v>
      </c>
      <c r="J3762" s="412">
        <v>36414756.549999997</v>
      </c>
      <c r="K3762" s="385">
        <v>46125</v>
      </c>
      <c r="L3762" s="369" t="s">
        <v>6020</v>
      </c>
      <c r="M3762" s="390">
        <v>46125.701736111114</v>
      </c>
      <c r="N3762" s="368" t="s">
        <v>387</v>
      </c>
      <c r="O3762" s="368" t="s">
        <v>384</v>
      </c>
      <c r="P3762" s="367" t="str">
        <f t="shared" si="152"/>
        <v>Revenue</v>
      </c>
      <c r="Q3762" s="366" t="s">
        <v>2199</v>
      </c>
      <c r="R3762" s="366" t="s">
        <v>6021</v>
      </c>
      <c r="S3762" s="366" t="s">
        <v>2200</v>
      </c>
    </row>
    <row r="3763" spans="1:19" ht="15" collapsed="1">
      <c r="J3763" s="413">
        <f>SUM(J3760:J3762)</f>
        <v>42259401.43</v>
      </c>
    </row>
    <row r="3765" spans="1:19" ht="12.75" customHeight="1">
      <c r="A3765" s="378" t="s">
        <v>6023</v>
      </c>
    </row>
    <row r="3766" spans="1:19" ht="45" hidden="1" outlineLevel="1">
      <c r="B3766" s="384">
        <v>2026</v>
      </c>
      <c r="C3766" s="384">
        <v>10</v>
      </c>
      <c r="D3766" s="367" t="s">
        <v>5</v>
      </c>
      <c r="E3766" s="367" t="s">
        <v>6</v>
      </c>
      <c r="F3766" s="389" t="s">
        <v>6024</v>
      </c>
      <c r="G3766" s="385">
        <v>46128</v>
      </c>
      <c r="H3766" s="367" t="s">
        <v>14</v>
      </c>
      <c r="I3766" s="368" t="str">
        <f>VLOOKUP(H3766,'[4]Source Codes'!A$2:B$115,2,FALSE)</f>
        <v>AP Warrant Issuance</v>
      </c>
      <c r="J3766" s="412">
        <v>-1457645.16</v>
      </c>
      <c r="K3766" s="385">
        <v>46126</v>
      </c>
      <c r="L3766" s="369" t="s">
        <v>6046</v>
      </c>
      <c r="M3766" s="390">
        <v>46126.758032407408</v>
      </c>
      <c r="N3766" s="366" t="s">
        <v>2185</v>
      </c>
      <c r="O3766" s="367" t="s">
        <v>357</v>
      </c>
      <c r="P3766" s="367" t="str">
        <f t="shared" ref="P3766:P3794" si="153">IF(J3766&gt;0,"Revenue",IF(J3766&lt;0,"Expense"))</f>
        <v>Expense</v>
      </c>
      <c r="Q3766" s="366" t="s">
        <v>2309</v>
      </c>
      <c r="R3766" s="365" t="s">
        <v>6047</v>
      </c>
      <c r="S3766" s="366">
        <v>527530</v>
      </c>
    </row>
    <row r="3767" spans="1:19" ht="60" hidden="1" outlineLevel="1">
      <c r="B3767" s="384">
        <v>2026</v>
      </c>
      <c r="C3767" s="384">
        <v>10</v>
      </c>
      <c r="D3767" s="367" t="s">
        <v>5</v>
      </c>
      <c r="E3767" s="367" t="s">
        <v>6</v>
      </c>
      <c r="F3767" s="389" t="s">
        <v>6025</v>
      </c>
      <c r="G3767" s="385">
        <v>46126</v>
      </c>
      <c r="H3767" s="367" t="s">
        <v>14</v>
      </c>
      <c r="I3767" s="368" t="str">
        <f>VLOOKUP(H3767,'[4]Source Codes'!A$2:B$115,2,FALSE)</f>
        <v>AP Warrant Issuance</v>
      </c>
      <c r="J3767" s="412">
        <v>-1324438.32</v>
      </c>
      <c r="K3767" s="385">
        <v>46126</v>
      </c>
      <c r="L3767" s="369" t="s">
        <v>6048</v>
      </c>
      <c r="M3767" s="390">
        <v>46126.758032407408</v>
      </c>
      <c r="N3767" s="366" t="s">
        <v>361</v>
      </c>
      <c r="O3767" s="367" t="s">
        <v>357</v>
      </c>
      <c r="P3767" s="367" t="str">
        <f t="shared" si="153"/>
        <v>Expense</v>
      </c>
      <c r="Q3767" s="366" t="s">
        <v>2309</v>
      </c>
      <c r="R3767" s="366" t="s">
        <v>6049</v>
      </c>
      <c r="S3767" s="366">
        <v>542060</v>
      </c>
    </row>
    <row r="3768" spans="1:19" ht="30" hidden="1" outlineLevel="1">
      <c r="B3768" s="384">
        <v>2026</v>
      </c>
      <c r="C3768" s="384">
        <v>10</v>
      </c>
      <c r="D3768" s="367" t="s">
        <v>5</v>
      </c>
      <c r="E3768" s="367" t="s">
        <v>6</v>
      </c>
      <c r="F3768" s="389" t="s">
        <v>6026</v>
      </c>
      <c r="G3768" s="385">
        <v>46126</v>
      </c>
      <c r="H3768" s="367" t="s">
        <v>12</v>
      </c>
      <c r="I3768" s="368" t="str">
        <f>VLOOKUP(H3768,'[4]Source Codes'!A$2:B$115,2,FALSE)</f>
        <v>AR Direct Cash Journal</v>
      </c>
      <c r="J3768" s="412">
        <v>1055356.71</v>
      </c>
      <c r="K3768" s="385">
        <v>46126</v>
      </c>
      <c r="L3768" s="369" t="s">
        <v>6050</v>
      </c>
      <c r="M3768" s="390">
        <v>46126.752118055556</v>
      </c>
      <c r="N3768" s="368" t="s">
        <v>387</v>
      </c>
      <c r="O3768" s="368" t="s">
        <v>3243</v>
      </c>
      <c r="P3768" s="367" t="str">
        <f t="shared" si="153"/>
        <v>Revenue</v>
      </c>
      <c r="Q3768" s="366" t="s">
        <v>3244</v>
      </c>
      <c r="R3768" s="366" t="s">
        <v>3244</v>
      </c>
      <c r="S3768" s="366">
        <v>725020</v>
      </c>
    </row>
    <row r="3769" spans="1:19" ht="30" hidden="1" outlineLevel="1">
      <c r="B3769" s="384">
        <v>2026</v>
      </c>
      <c r="C3769" s="384">
        <v>10</v>
      </c>
      <c r="D3769" s="367" t="s">
        <v>5</v>
      </c>
      <c r="E3769" s="367" t="s">
        <v>6</v>
      </c>
      <c r="F3769" s="389" t="s">
        <v>6027</v>
      </c>
      <c r="G3769" s="385">
        <v>46125</v>
      </c>
      <c r="H3769" s="367" t="s">
        <v>9</v>
      </c>
      <c r="I3769" s="368" t="str">
        <f>VLOOKUP(H3769,'[4]Source Codes'!A$2:B$115,2,FALSE)</f>
        <v>On Line Journal Entries</v>
      </c>
      <c r="J3769" s="412">
        <v>9720824.8900000006</v>
      </c>
      <c r="K3769" s="385">
        <v>46126</v>
      </c>
      <c r="L3769" s="369" t="s">
        <v>344</v>
      </c>
      <c r="M3769" s="390">
        <v>46126.569953703707</v>
      </c>
      <c r="N3769" s="366" t="s">
        <v>356</v>
      </c>
      <c r="O3769" s="367" t="s">
        <v>364</v>
      </c>
      <c r="P3769" s="367" t="str">
        <f t="shared" si="153"/>
        <v>Revenue</v>
      </c>
      <c r="Q3769" s="366" t="s">
        <v>2232</v>
      </c>
      <c r="R3769" s="366" t="s">
        <v>3454</v>
      </c>
      <c r="S3769" s="366" t="s">
        <v>4905</v>
      </c>
    </row>
    <row r="3770" spans="1:19" ht="30" hidden="1" outlineLevel="1">
      <c r="B3770" s="384">
        <v>2026</v>
      </c>
      <c r="C3770" s="384">
        <v>10</v>
      </c>
      <c r="D3770" s="367" t="s">
        <v>5</v>
      </c>
      <c r="E3770" s="367" t="s">
        <v>6</v>
      </c>
      <c r="F3770" s="389" t="s">
        <v>6028</v>
      </c>
      <c r="G3770" s="385">
        <v>46125</v>
      </c>
      <c r="H3770" s="367" t="s">
        <v>9</v>
      </c>
      <c r="I3770" s="368" t="str">
        <f>VLOOKUP(H3770,'[4]Source Codes'!A$2:B$115,2,FALSE)</f>
        <v>On Line Journal Entries</v>
      </c>
      <c r="J3770" s="412">
        <v>8323749</v>
      </c>
      <c r="K3770" s="385">
        <v>46126</v>
      </c>
      <c r="L3770" s="369" t="s">
        <v>344</v>
      </c>
      <c r="M3770" s="390">
        <v>46126.569513888891</v>
      </c>
      <c r="N3770" s="366" t="s">
        <v>356</v>
      </c>
      <c r="O3770" s="367" t="s">
        <v>364</v>
      </c>
      <c r="P3770" s="367" t="str">
        <f t="shared" si="153"/>
        <v>Revenue</v>
      </c>
      <c r="Q3770" s="366" t="s">
        <v>2232</v>
      </c>
      <c r="R3770" s="366" t="s">
        <v>3454</v>
      </c>
      <c r="S3770" s="366" t="s">
        <v>2533</v>
      </c>
    </row>
    <row r="3771" spans="1:19" ht="30" hidden="1" outlineLevel="1">
      <c r="B3771" s="384">
        <v>2026</v>
      </c>
      <c r="C3771" s="384">
        <v>10</v>
      </c>
      <c r="D3771" s="367" t="s">
        <v>5</v>
      </c>
      <c r="E3771" s="367" t="s">
        <v>6</v>
      </c>
      <c r="F3771" s="389" t="s">
        <v>6029</v>
      </c>
      <c r="G3771" s="385">
        <v>46121</v>
      </c>
      <c r="H3771" s="367" t="s">
        <v>9</v>
      </c>
      <c r="I3771" s="368" t="str">
        <f>VLOOKUP(H3771,'[4]Source Codes'!A$2:B$115,2,FALSE)</f>
        <v>On Line Journal Entries</v>
      </c>
      <c r="J3771" s="412">
        <v>2290215</v>
      </c>
      <c r="K3771" s="385">
        <v>46126</v>
      </c>
      <c r="L3771" s="369" t="s">
        <v>344</v>
      </c>
      <c r="M3771" s="390">
        <v>46126.391481481478</v>
      </c>
      <c r="N3771" s="366" t="s">
        <v>356</v>
      </c>
      <c r="O3771" s="367" t="s">
        <v>364</v>
      </c>
      <c r="P3771" s="367" t="str">
        <f t="shared" si="153"/>
        <v>Revenue</v>
      </c>
      <c r="Q3771" s="366" t="s">
        <v>2232</v>
      </c>
      <c r="R3771" s="366" t="s">
        <v>3454</v>
      </c>
      <c r="S3771" s="366" t="s">
        <v>2533</v>
      </c>
    </row>
    <row r="3772" spans="1:19" ht="15" hidden="1" outlineLevel="1">
      <c r="B3772" s="384">
        <v>2026</v>
      </c>
      <c r="C3772" s="384">
        <v>10</v>
      </c>
      <c r="D3772" s="367" t="s">
        <v>5</v>
      </c>
      <c r="E3772" s="367" t="s">
        <v>6</v>
      </c>
      <c r="F3772" s="389" t="s">
        <v>6030</v>
      </c>
      <c r="G3772" s="385">
        <v>46113</v>
      </c>
      <c r="H3772" s="367" t="s">
        <v>337</v>
      </c>
      <c r="I3772" s="368" t="str">
        <f>VLOOKUP(H3772,'[4]Source Codes'!A$2:B$115,2,FALSE)</f>
        <v>Facilities Mngmnt Intfc Jrnls</v>
      </c>
      <c r="J3772" s="412">
        <v>-2706598.43</v>
      </c>
      <c r="K3772" s="385">
        <v>46126</v>
      </c>
      <c r="L3772" s="369" t="s">
        <v>6038</v>
      </c>
      <c r="M3772" s="390">
        <v>46126.386817129627</v>
      </c>
      <c r="N3772" s="366" t="s">
        <v>356</v>
      </c>
      <c r="O3772" s="367" t="s">
        <v>367</v>
      </c>
      <c r="P3772" s="367" t="str">
        <f t="shared" si="153"/>
        <v>Expense</v>
      </c>
      <c r="Q3772" s="366" t="s">
        <v>2337</v>
      </c>
      <c r="R3772" s="366" t="s">
        <v>6051</v>
      </c>
      <c r="S3772" s="366">
        <v>522385</v>
      </c>
    </row>
    <row r="3773" spans="1:19" ht="30" hidden="1" outlineLevel="1">
      <c r="B3773" s="384">
        <v>2026</v>
      </c>
      <c r="C3773" s="384">
        <v>10</v>
      </c>
      <c r="D3773" s="367" t="s">
        <v>5</v>
      </c>
      <c r="E3773" s="367" t="s">
        <v>6</v>
      </c>
      <c r="F3773" s="389" t="s">
        <v>6031</v>
      </c>
      <c r="G3773" s="385">
        <v>46113</v>
      </c>
      <c r="H3773" s="367" t="s">
        <v>9</v>
      </c>
      <c r="I3773" s="368" t="str">
        <f>VLOOKUP(H3773,'[4]Source Codes'!A$2:B$115,2,FALSE)</f>
        <v>On Line Journal Entries</v>
      </c>
      <c r="J3773" s="412">
        <v>-4000000</v>
      </c>
      <c r="K3773" s="385">
        <v>46126</v>
      </c>
      <c r="L3773" s="369" t="s">
        <v>6039</v>
      </c>
      <c r="M3773" s="390">
        <v>46126.390497685185</v>
      </c>
      <c r="N3773" s="368" t="s">
        <v>387</v>
      </c>
      <c r="O3773" s="368" t="s">
        <v>358</v>
      </c>
      <c r="P3773" s="367" t="str">
        <f t="shared" si="153"/>
        <v>Expense</v>
      </c>
      <c r="Q3773" s="366" t="s">
        <v>3029</v>
      </c>
      <c r="R3773" s="365" t="s">
        <v>3029</v>
      </c>
      <c r="S3773" s="366">
        <v>551100</v>
      </c>
    </row>
    <row r="3774" spans="1:19" ht="30" hidden="1" outlineLevel="1">
      <c r="B3774" s="384">
        <v>2026</v>
      </c>
      <c r="C3774" s="384">
        <v>10</v>
      </c>
      <c r="D3774" s="367" t="s">
        <v>5</v>
      </c>
      <c r="E3774" s="367" t="s">
        <v>6</v>
      </c>
      <c r="F3774" s="389" t="s">
        <v>6032</v>
      </c>
      <c r="G3774" s="385">
        <v>46113</v>
      </c>
      <c r="H3774" s="367" t="s">
        <v>9</v>
      </c>
      <c r="I3774" s="368" t="str">
        <f>VLOOKUP(H3774,'[4]Source Codes'!A$2:B$115,2,FALSE)</f>
        <v>On Line Journal Entries</v>
      </c>
      <c r="J3774" s="412">
        <v>-4444115.4000000004</v>
      </c>
      <c r="K3774" s="385">
        <v>46126</v>
      </c>
      <c r="L3774" s="369" t="s">
        <v>6040</v>
      </c>
      <c r="M3774" s="390">
        <v>46126.384456018517</v>
      </c>
      <c r="N3774" s="366" t="s">
        <v>356</v>
      </c>
      <c r="O3774" s="367" t="s">
        <v>373</v>
      </c>
      <c r="P3774" s="367" t="str">
        <f t="shared" si="153"/>
        <v>Expense</v>
      </c>
      <c r="Q3774" s="366" t="s">
        <v>2517</v>
      </c>
      <c r="R3774" s="366" t="s">
        <v>6052</v>
      </c>
      <c r="S3774" s="366">
        <v>517000</v>
      </c>
    </row>
    <row r="3775" spans="1:19" ht="30" hidden="1" outlineLevel="1">
      <c r="B3775" s="384">
        <v>2026</v>
      </c>
      <c r="C3775" s="384">
        <v>10</v>
      </c>
      <c r="D3775" s="367" t="s">
        <v>5</v>
      </c>
      <c r="E3775" s="367" t="s">
        <v>6</v>
      </c>
      <c r="F3775" s="389" t="s">
        <v>6033</v>
      </c>
      <c r="G3775" s="385">
        <v>46113</v>
      </c>
      <c r="H3775" s="367" t="s">
        <v>9</v>
      </c>
      <c r="I3775" s="368" t="str">
        <f>VLOOKUP(H3775,'[4]Source Codes'!A$2:B$115,2,FALSE)</f>
        <v>On Line Journal Entries</v>
      </c>
      <c r="J3775" s="412">
        <v>-5535427.9900000002</v>
      </c>
      <c r="K3775" s="385">
        <v>46126</v>
      </c>
      <c r="L3775" s="369" t="s">
        <v>6041</v>
      </c>
      <c r="M3775" s="390">
        <v>46126.869814814818</v>
      </c>
      <c r="N3775" s="366" t="s">
        <v>356</v>
      </c>
      <c r="O3775" s="367" t="s">
        <v>374</v>
      </c>
      <c r="P3775" s="367" t="str">
        <f t="shared" si="153"/>
        <v>Expense</v>
      </c>
      <c r="Q3775" s="366" t="s">
        <v>2202</v>
      </c>
      <c r="R3775" s="366" t="s">
        <v>6053</v>
      </c>
      <c r="S3775" s="366">
        <v>525840</v>
      </c>
    </row>
    <row r="3776" spans="1:19" ht="30" hidden="1" outlineLevel="1">
      <c r="B3776" s="384">
        <v>2026</v>
      </c>
      <c r="C3776" s="384">
        <v>10</v>
      </c>
      <c r="D3776" s="367" t="s">
        <v>5</v>
      </c>
      <c r="E3776" s="367" t="s">
        <v>6</v>
      </c>
      <c r="F3776" s="389" t="s">
        <v>6034</v>
      </c>
      <c r="G3776" s="385">
        <v>46113</v>
      </c>
      <c r="H3776" s="367" t="s">
        <v>9</v>
      </c>
      <c r="I3776" s="368" t="str">
        <f>VLOOKUP(H3776,'[4]Source Codes'!A$2:B$115,2,FALSE)</f>
        <v>On Line Journal Entries</v>
      </c>
      <c r="J3776" s="412">
        <v>-7576523.54</v>
      </c>
      <c r="K3776" s="385">
        <v>46126</v>
      </c>
      <c r="L3776" s="369" t="s">
        <v>6042</v>
      </c>
      <c r="M3776" s="390">
        <v>46126.382847222223</v>
      </c>
      <c r="N3776" s="366" t="s">
        <v>356</v>
      </c>
      <c r="O3776" s="367" t="s">
        <v>373</v>
      </c>
      <c r="P3776" s="367" t="str">
        <f t="shared" si="153"/>
        <v>Expense</v>
      </c>
      <c r="Q3776" s="366" t="s">
        <v>2569</v>
      </c>
      <c r="R3776" s="366" t="s">
        <v>6054</v>
      </c>
      <c r="S3776" s="366">
        <v>520930</v>
      </c>
    </row>
    <row r="3777" spans="1:19" ht="15" hidden="1" outlineLevel="1">
      <c r="B3777" s="384">
        <v>2026</v>
      </c>
      <c r="C3777" s="384">
        <v>10</v>
      </c>
      <c r="D3777" s="367" t="s">
        <v>5</v>
      </c>
      <c r="E3777" s="367" t="s">
        <v>6</v>
      </c>
      <c r="F3777" s="389" t="s">
        <v>6035</v>
      </c>
      <c r="G3777" s="385">
        <v>46113</v>
      </c>
      <c r="H3777" s="367" t="s">
        <v>13</v>
      </c>
      <c r="I3777" s="368" t="str">
        <f>VLOOKUP(H3777,'[4]Source Codes'!A$2:B$115,2,FALSE)</f>
        <v>C-IV Voucher/Payments/EBT</v>
      </c>
      <c r="J3777" s="412">
        <v>-9999474.9700000007</v>
      </c>
      <c r="K3777" s="385">
        <v>46126</v>
      </c>
      <c r="L3777" s="369" t="s">
        <v>6043</v>
      </c>
      <c r="M3777" s="390">
        <v>46126.385092592594</v>
      </c>
      <c r="N3777" s="366" t="s">
        <v>356</v>
      </c>
      <c r="O3777" s="367" t="s">
        <v>364</v>
      </c>
      <c r="P3777" s="367" t="str">
        <f t="shared" si="153"/>
        <v>Expense</v>
      </c>
      <c r="Q3777" s="366" t="s">
        <v>2204</v>
      </c>
      <c r="R3777" s="365">
        <v>46113</v>
      </c>
      <c r="S3777" s="366">
        <v>530480</v>
      </c>
    </row>
    <row r="3778" spans="1:19" ht="15" hidden="1" outlineLevel="1">
      <c r="B3778" s="384">
        <v>2026</v>
      </c>
      <c r="C3778" s="384">
        <v>10</v>
      </c>
      <c r="D3778" s="367" t="s">
        <v>5</v>
      </c>
      <c r="E3778" s="367" t="s">
        <v>6</v>
      </c>
      <c r="F3778" s="389" t="s">
        <v>6036</v>
      </c>
      <c r="G3778" s="385">
        <v>46113</v>
      </c>
      <c r="H3778" s="367" t="s">
        <v>13</v>
      </c>
      <c r="I3778" s="368" t="str">
        <f>VLOOKUP(H3778,'[4]Source Codes'!A$2:B$115,2,FALSE)</f>
        <v>C-IV Voucher/Payments/EBT</v>
      </c>
      <c r="J3778" s="412">
        <v>-12122744.16</v>
      </c>
      <c r="K3778" s="385">
        <v>46126</v>
      </c>
      <c r="L3778" s="369" t="s">
        <v>6044</v>
      </c>
      <c r="M3778" s="390">
        <v>46126.39230324074</v>
      </c>
      <c r="N3778" s="366" t="s">
        <v>356</v>
      </c>
      <c r="O3778" s="367" t="s">
        <v>364</v>
      </c>
      <c r="P3778" s="367" t="str">
        <f t="shared" si="153"/>
        <v>Expense</v>
      </c>
      <c r="Q3778" s="366" t="s">
        <v>2204</v>
      </c>
      <c r="R3778" s="365">
        <v>46083</v>
      </c>
      <c r="S3778" s="366">
        <v>530480</v>
      </c>
    </row>
    <row r="3779" spans="1:19" ht="15" hidden="1" outlineLevel="1">
      <c r="B3779" s="384">
        <v>2026</v>
      </c>
      <c r="C3779" s="384">
        <v>10</v>
      </c>
      <c r="D3779" s="367" t="s">
        <v>5</v>
      </c>
      <c r="E3779" s="367" t="s">
        <v>6</v>
      </c>
      <c r="F3779" s="389" t="s">
        <v>6037</v>
      </c>
      <c r="G3779" s="385">
        <v>46113</v>
      </c>
      <c r="H3779" s="367" t="s">
        <v>13</v>
      </c>
      <c r="I3779" s="368" t="str">
        <f>VLOOKUP(H3779,'[4]Source Codes'!A$2:B$115,2,FALSE)</f>
        <v>C-IV Voucher/Payments/EBT</v>
      </c>
      <c r="J3779" s="412">
        <v>-15660858.060000001</v>
      </c>
      <c r="K3779" s="385">
        <v>46126</v>
      </c>
      <c r="L3779" s="369" t="s">
        <v>6045</v>
      </c>
      <c r="M3779" s="390">
        <v>46126.392881944441</v>
      </c>
      <c r="N3779" s="366" t="s">
        <v>356</v>
      </c>
      <c r="O3779" s="367" t="s">
        <v>364</v>
      </c>
      <c r="P3779" s="367" t="str">
        <f t="shared" si="153"/>
        <v>Expense</v>
      </c>
      <c r="Q3779" s="366" t="s">
        <v>2204</v>
      </c>
      <c r="R3779" s="365">
        <v>46084</v>
      </c>
      <c r="S3779" s="366">
        <v>530480</v>
      </c>
    </row>
    <row r="3780" spans="1:19" ht="15" collapsed="1">
      <c r="J3780" s="413">
        <f>SUM(J3766:J3779)</f>
        <v>-43437680.43</v>
      </c>
      <c r="P3780" s="367"/>
    </row>
    <row r="3781" spans="1:19" ht="12.75" customHeight="1">
      <c r="P3781" s="367"/>
    </row>
    <row r="3782" spans="1:19" ht="12.75" customHeight="1">
      <c r="A3782" s="378" t="s">
        <v>6055</v>
      </c>
      <c r="P3782" s="367"/>
    </row>
    <row r="3783" spans="1:19" ht="60" hidden="1" outlineLevel="1">
      <c r="B3783" s="384">
        <v>2026</v>
      </c>
      <c r="C3783" s="384">
        <v>10</v>
      </c>
      <c r="D3783" s="367" t="s">
        <v>5</v>
      </c>
      <c r="E3783" s="367" t="s">
        <v>6</v>
      </c>
      <c r="F3783" s="389" t="s">
        <v>6056</v>
      </c>
      <c r="G3783" s="385">
        <v>46113</v>
      </c>
      <c r="H3783" s="367" t="s">
        <v>9</v>
      </c>
      <c r="I3783" s="368" t="str">
        <f>VLOOKUP(H3783,'[4]Source Codes'!A$2:B$115,2,FALSE)</f>
        <v>On Line Journal Entries</v>
      </c>
      <c r="J3783" s="412">
        <v>-21181767</v>
      </c>
      <c r="K3783" s="385">
        <v>46127</v>
      </c>
      <c r="L3783" s="369" t="s">
        <v>6057</v>
      </c>
      <c r="M3783" s="390">
        <v>46127.66269675926</v>
      </c>
      <c r="N3783" s="366" t="s">
        <v>387</v>
      </c>
      <c r="O3783" s="367" t="s">
        <v>532</v>
      </c>
      <c r="P3783" s="367" t="str">
        <f t="shared" si="153"/>
        <v>Expense</v>
      </c>
      <c r="Q3783" s="366" t="s">
        <v>2926</v>
      </c>
      <c r="R3783" s="365" t="s">
        <v>6058</v>
      </c>
      <c r="S3783" s="366">
        <v>524920</v>
      </c>
    </row>
    <row r="3784" spans="1:19" ht="15" collapsed="1">
      <c r="I3784" s="368"/>
      <c r="J3784" s="413">
        <f>SUM(J3783)</f>
        <v>-21181767</v>
      </c>
      <c r="P3784" s="367"/>
    </row>
    <row r="3785" spans="1:19" ht="12.75" customHeight="1">
      <c r="I3785" s="368"/>
      <c r="P3785" s="367"/>
    </row>
    <row r="3786" spans="1:19" ht="12.75" customHeight="1">
      <c r="A3786" s="378" t="s">
        <v>6059</v>
      </c>
      <c r="I3786" s="368"/>
      <c r="P3786" s="367"/>
    </row>
    <row r="3787" spans="1:19" ht="30" hidden="1" outlineLevel="1">
      <c r="B3787" s="384">
        <v>2026</v>
      </c>
      <c r="C3787" s="384">
        <v>10</v>
      </c>
      <c r="D3787" s="367" t="s">
        <v>5</v>
      </c>
      <c r="E3787" s="367" t="s">
        <v>6</v>
      </c>
      <c r="F3787" s="389" t="s">
        <v>6060</v>
      </c>
      <c r="G3787" s="385">
        <v>46128</v>
      </c>
      <c r="H3787" s="367" t="s">
        <v>14</v>
      </c>
      <c r="I3787" s="368" t="str">
        <f>VLOOKUP(H3787,'[4]Source Codes'!A$2:B$115,2,FALSE)</f>
        <v>AP Warrant Issuance</v>
      </c>
      <c r="J3787" s="412">
        <v>-1492627.04</v>
      </c>
      <c r="K3787" s="385">
        <v>46128</v>
      </c>
      <c r="L3787" s="369" t="s">
        <v>6061</v>
      </c>
      <c r="M3787" s="390">
        <v>46128.757939814815</v>
      </c>
      <c r="N3787" s="366" t="s">
        <v>356</v>
      </c>
      <c r="O3787" s="367" t="s">
        <v>368</v>
      </c>
      <c r="P3787" s="367" t="str">
        <f t="shared" si="153"/>
        <v>Expense</v>
      </c>
      <c r="Q3787" s="366" t="s">
        <v>5835</v>
      </c>
      <c r="R3787" s="366" t="s">
        <v>5835</v>
      </c>
      <c r="S3787" s="366" t="s">
        <v>203</v>
      </c>
    </row>
    <row r="3788" spans="1:19" ht="45" hidden="1" outlineLevel="1">
      <c r="B3788" s="384">
        <v>2026</v>
      </c>
      <c r="C3788" s="384">
        <v>10</v>
      </c>
      <c r="D3788" s="367" t="s">
        <v>5</v>
      </c>
      <c r="E3788" s="367" t="s">
        <v>6</v>
      </c>
      <c r="F3788" s="389" t="s">
        <v>6062</v>
      </c>
      <c r="G3788" s="385">
        <v>46126</v>
      </c>
      <c r="H3788" s="367" t="s">
        <v>12</v>
      </c>
      <c r="I3788" s="368" t="str">
        <f>VLOOKUP(H3788,'[4]Source Codes'!A$2:B$115,2,FALSE)</f>
        <v>AR Direct Cash Journal</v>
      </c>
      <c r="J3788" s="412">
        <v>5120536.72</v>
      </c>
      <c r="K3788" s="385">
        <v>46128</v>
      </c>
      <c r="L3788" s="369" t="s">
        <v>6063</v>
      </c>
      <c r="M3788" s="390">
        <v>46128.752141203702</v>
      </c>
      <c r="N3788" s="366" t="s">
        <v>387</v>
      </c>
      <c r="O3788" s="367" t="s">
        <v>3243</v>
      </c>
      <c r="P3788" s="367" t="str">
        <f t="shared" si="153"/>
        <v>Revenue</v>
      </c>
      <c r="Q3788" s="366" t="s">
        <v>3244</v>
      </c>
      <c r="R3788" s="366" t="s">
        <v>6064</v>
      </c>
      <c r="S3788" s="366">
        <v>725020</v>
      </c>
    </row>
    <row r="3789" spans="1:19" ht="15" hidden="1" outlineLevel="1">
      <c r="B3789" s="384">
        <v>2026</v>
      </c>
      <c r="C3789" s="384">
        <v>10</v>
      </c>
      <c r="D3789" s="367" t="s">
        <v>5</v>
      </c>
      <c r="E3789" s="367" t="s">
        <v>6</v>
      </c>
      <c r="F3789" s="389" t="s">
        <v>6065</v>
      </c>
      <c r="G3789" s="385">
        <v>46126</v>
      </c>
      <c r="H3789" s="367" t="s">
        <v>8</v>
      </c>
      <c r="I3789" s="368" t="str">
        <f>VLOOKUP(H3789,'[4]Source Codes'!A$2:B$115,2,FALSE)</f>
        <v>Prch,Cntrl Mail,Flt,Prntg,Sply</v>
      </c>
      <c r="J3789" s="412">
        <v>-2074189.73</v>
      </c>
      <c r="K3789" s="385">
        <v>46128</v>
      </c>
      <c r="L3789" s="369" t="s">
        <v>6067</v>
      </c>
      <c r="M3789" s="390">
        <v>46128.393182870372</v>
      </c>
      <c r="N3789" s="366" t="s">
        <v>356</v>
      </c>
      <c r="O3789" s="367" t="s">
        <v>382</v>
      </c>
      <c r="P3789" s="367" t="str">
        <f t="shared" si="153"/>
        <v>Expense</v>
      </c>
      <c r="Q3789" s="366" t="s">
        <v>2328</v>
      </c>
      <c r="R3789" s="366" t="s">
        <v>6069</v>
      </c>
      <c r="S3789" s="366" t="s">
        <v>2535</v>
      </c>
    </row>
    <row r="3790" spans="1:19" ht="30" hidden="1" outlineLevel="1">
      <c r="B3790" s="384">
        <v>2026</v>
      </c>
      <c r="C3790" s="384">
        <v>10</v>
      </c>
      <c r="D3790" s="367" t="s">
        <v>5</v>
      </c>
      <c r="E3790" s="367" t="s">
        <v>6</v>
      </c>
      <c r="F3790" s="389" t="s">
        <v>6066</v>
      </c>
      <c r="G3790" s="385">
        <v>46127</v>
      </c>
      <c r="H3790" s="367" t="s">
        <v>9</v>
      </c>
      <c r="I3790" s="368" t="str">
        <f>VLOOKUP(H3790,'[4]Source Codes'!A$2:B$115,2,FALSE)</f>
        <v>On Line Journal Entries</v>
      </c>
      <c r="J3790" s="412">
        <v>-4398835</v>
      </c>
      <c r="K3790" s="385">
        <v>46128</v>
      </c>
      <c r="L3790" s="369" t="s">
        <v>6068</v>
      </c>
      <c r="M3790" s="390">
        <v>46128.870891203704</v>
      </c>
      <c r="N3790" s="366" t="s">
        <v>2185</v>
      </c>
      <c r="O3790" s="367" t="s">
        <v>369</v>
      </c>
      <c r="P3790" s="367" t="str">
        <f t="shared" si="153"/>
        <v>Expense</v>
      </c>
      <c r="Q3790" s="366" t="s">
        <v>2268</v>
      </c>
      <c r="R3790" s="366" t="s">
        <v>6070</v>
      </c>
      <c r="S3790" s="366">
        <v>230135</v>
      </c>
    </row>
    <row r="3791" spans="1:19" ht="12.75" customHeight="1" collapsed="1">
      <c r="J3791" s="413">
        <f>SUM(J3787:J3790)</f>
        <v>-2845115.0500000003</v>
      </c>
      <c r="P3791" s="367"/>
    </row>
    <row r="3792" spans="1:19" ht="12.75" customHeight="1">
      <c r="P3792" s="367"/>
    </row>
    <row r="3793" spans="1:19" ht="12.75" customHeight="1">
      <c r="A3793" s="378" t="s">
        <v>6071</v>
      </c>
      <c r="P3793" s="367"/>
    </row>
    <row r="3794" spans="1:19" ht="30" hidden="1" outlineLevel="1">
      <c r="B3794" s="384">
        <v>2026</v>
      </c>
      <c r="C3794" s="384">
        <v>10</v>
      </c>
      <c r="D3794" s="367" t="s">
        <v>5</v>
      </c>
      <c r="E3794" s="367" t="s">
        <v>6</v>
      </c>
      <c r="F3794" s="389" t="s">
        <v>6072</v>
      </c>
      <c r="G3794" s="385">
        <v>46129</v>
      </c>
      <c r="H3794" s="367" t="s">
        <v>14</v>
      </c>
      <c r="I3794" s="368" t="str">
        <f>VLOOKUP(H3794,'[4]Source Codes'!A$2:B$115,2,FALSE)</f>
        <v>AP Warrant Issuance</v>
      </c>
      <c r="J3794" s="412">
        <v>-1155929.71</v>
      </c>
      <c r="K3794" s="385">
        <v>46129</v>
      </c>
      <c r="L3794" s="369" t="s">
        <v>6073</v>
      </c>
      <c r="M3794" s="390">
        <v>46129.764467592591</v>
      </c>
      <c r="N3794" s="366" t="s">
        <v>356</v>
      </c>
      <c r="O3794" s="367" t="s">
        <v>358</v>
      </c>
      <c r="P3794" s="367" t="str">
        <f t="shared" si="153"/>
        <v>Expense</v>
      </c>
      <c r="Q3794" s="366" t="s">
        <v>4250</v>
      </c>
      <c r="R3794" s="366" t="s">
        <v>4250</v>
      </c>
      <c r="S3794" s="366" t="s">
        <v>203</v>
      </c>
    </row>
    <row r="3795" spans="1:19" ht="12.75" customHeight="1" collapsed="1">
      <c r="J3795" s="413">
        <f>SUM(J3794)</f>
        <v>-1155929.71</v>
      </c>
    </row>
    <row r="3797" spans="1:19" ht="12.75" customHeight="1">
      <c r="A3797" s="378" t="s">
        <v>6074</v>
      </c>
    </row>
    <row r="3798" spans="1:19" ht="30" hidden="1" outlineLevel="1">
      <c r="B3798" s="384">
        <v>2026</v>
      </c>
      <c r="C3798" s="384">
        <v>10</v>
      </c>
      <c r="D3798" s="367" t="s">
        <v>5</v>
      </c>
      <c r="E3798" s="367" t="s">
        <v>6</v>
      </c>
      <c r="F3798" s="389" t="s">
        <v>6075</v>
      </c>
      <c r="G3798" s="385">
        <v>46132</v>
      </c>
      <c r="H3798" s="367" t="s">
        <v>14</v>
      </c>
      <c r="I3798" s="368" t="str">
        <f>VLOOKUP(H3798,'[4]Source Codes'!A$2:B$115,2,FALSE)</f>
        <v>AP Warrant Issuance</v>
      </c>
      <c r="J3798" s="412">
        <v>-1945329.56</v>
      </c>
      <c r="K3798" s="385">
        <v>46132</v>
      </c>
      <c r="L3798" s="369" t="s">
        <v>6083</v>
      </c>
      <c r="M3798" s="390">
        <v>46132.758090277777</v>
      </c>
      <c r="N3798" s="366" t="s">
        <v>356</v>
      </c>
      <c r="O3798" s="367" t="s">
        <v>368</v>
      </c>
      <c r="P3798" s="368" t="s">
        <v>2613</v>
      </c>
      <c r="Q3798" s="366" t="s">
        <v>5835</v>
      </c>
      <c r="R3798" s="366" t="s">
        <v>5835</v>
      </c>
      <c r="S3798" s="366" t="s">
        <v>203</v>
      </c>
    </row>
    <row r="3799" spans="1:19" ht="30" hidden="1" outlineLevel="1">
      <c r="B3799" s="384">
        <v>2026</v>
      </c>
      <c r="C3799" s="384">
        <v>10</v>
      </c>
      <c r="D3799" s="367" t="s">
        <v>5</v>
      </c>
      <c r="E3799" s="367" t="s">
        <v>6</v>
      </c>
      <c r="F3799" s="389" t="s">
        <v>6076</v>
      </c>
      <c r="G3799" s="385">
        <v>46129</v>
      </c>
      <c r="H3799" s="367" t="s">
        <v>11</v>
      </c>
      <c r="I3799" s="368" t="str">
        <f>VLOOKUP(H3799,'[4]Source Codes'!A$2:B$115,2,FALSE)</f>
        <v>AR Payments</v>
      </c>
      <c r="J3799" s="412">
        <v>1734007</v>
      </c>
      <c r="K3799" s="385">
        <v>46132</v>
      </c>
      <c r="L3799" s="369" t="s">
        <v>6084</v>
      </c>
      <c r="M3799" s="390">
        <v>46132.752187500002</v>
      </c>
      <c r="N3799" s="366" t="s">
        <v>356</v>
      </c>
      <c r="O3799" s="367" t="s">
        <v>362</v>
      </c>
      <c r="P3799" s="368" t="s">
        <v>2290</v>
      </c>
      <c r="Q3799" s="366" t="s">
        <v>3049</v>
      </c>
      <c r="R3799" s="366" t="s">
        <v>3049</v>
      </c>
      <c r="S3799" s="366">
        <v>118401</v>
      </c>
    </row>
    <row r="3800" spans="1:19" ht="60" hidden="1" outlineLevel="1">
      <c r="B3800" s="384">
        <v>2026</v>
      </c>
      <c r="C3800" s="384">
        <v>10</v>
      </c>
      <c r="D3800" s="367" t="s">
        <v>5</v>
      </c>
      <c r="E3800" s="367" t="s">
        <v>6</v>
      </c>
      <c r="F3800" s="389" t="s">
        <v>6077</v>
      </c>
      <c r="G3800" s="385">
        <v>46132</v>
      </c>
      <c r="H3800" s="367" t="s">
        <v>11</v>
      </c>
      <c r="I3800" s="368" t="str">
        <f>VLOOKUP(H3800,'[4]Source Codes'!A$2:B$115,2,FALSE)</f>
        <v>AR Payments</v>
      </c>
      <c r="J3800" s="412">
        <v>3863597.76</v>
      </c>
      <c r="K3800" s="385">
        <v>46132</v>
      </c>
      <c r="L3800" s="369" t="s">
        <v>6085</v>
      </c>
      <c r="M3800" s="390">
        <v>46132.752187500002</v>
      </c>
      <c r="N3800" s="366" t="s">
        <v>359</v>
      </c>
      <c r="O3800" s="367" t="s">
        <v>357</v>
      </c>
      <c r="P3800" s="368" t="s">
        <v>2290</v>
      </c>
      <c r="Q3800" s="366" t="s">
        <v>2157</v>
      </c>
      <c r="R3800" s="366" t="s">
        <v>2157</v>
      </c>
      <c r="S3800" s="366" t="s">
        <v>5749</v>
      </c>
    </row>
    <row r="3801" spans="1:19" ht="30" hidden="1" outlineLevel="1">
      <c r="B3801" s="384">
        <v>2026</v>
      </c>
      <c r="C3801" s="384">
        <v>10</v>
      </c>
      <c r="D3801" s="367" t="s">
        <v>5</v>
      </c>
      <c r="E3801" s="367" t="s">
        <v>6</v>
      </c>
      <c r="F3801" s="389" t="s">
        <v>6078</v>
      </c>
      <c r="G3801" s="385">
        <v>46114</v>
      </c>
      <c r="H3801" s="367" t="s">
        <v>9</v>
      </c>
      <c r="I3801" s="368" t="str">
        <f>VLOOKUP(H3801,'[4]Source Codes'!A$2:B$115,2,FALSE)</f>
        <v>On Line Journal Entries</v>
      </c>
      <c r="J3801" s="412">
        <v>23665896</v>
      </c>
      <c r="K3801" s="385">
        <v>46132</v>
      </c>
      <c r="L3801" s="369" t="s">
        <v>10</v>
      </c>
      <c r="M3801" s="390">
        <v>46132.606944444444</v>
      </c>
      <c r="N3801" s="366" t="s">
        <v>356</v>
      </c>
      <c r="O3801" s="367" t="s">
        <v>364</v>
      </c>
      <c r="P3801" s="368" t="s">
        <v>2290</v>
      </c>
      <c r="Q3801" s="366" t="s">
        <v>2232</v>
      </c>
      <c r="R3801" s="366" t="s">
        <v>3454</v>
      </c>
      <c r="S3801" s="366" t="s">
        <v>3107</v>
      </c>
    </row>
    <row r="3802" spans="1:19" ht="30" hidden="1" outlineLevel="1">
      <c r="B3802" s="384">
        <v>2026</v>
      </c>
      <c r="C3802" s="384">
        <v>10</v>
      </c>
      <c r="D3802" s="367" t="s">
        <v>5</v>
      </c>
      <c r="E3802" s="367" t="s">
        <v>6</v>
      </c>
      <c r="F3802" s="389" t="s">
        <v>6079</v>
      </c>
      <c r="G3802" s="385">
        <v>46128</v>
      </c>
      <c r="H3802" s="367" t="s">
        <v>9</v>
      </c>
      <c r="I3802" s="368" t="str">
        <f>VLOOKUP(H3802,'[4]Source Codes'!A$2:B$115,2,FALSE)</f>
        <v>On Line Journal Entries</v>
      </c>
      <c r="J3802" s="412">
        <v>-1910883.5</v>
      </c>
      <c r="K3802" s="385">
        <v>46132</v>
      </c>
      <c r="L3802" s="369" t="s">
        <v>5135</v>
      </c>
      <c r="M3802" s="390">
        <v>46132.487476851849</v>
      </c>
      <c r="N3802" s="368" t="s">
        <v>507</v>
      </c>
      <c r="O3802" s="367" t="s">
        <v>358</v>
      </c>
      <c r="P3802" s="368" t="s">
        <v>2613</v>
      </c>
      <c r="Q3802" s="366" t="s">
        <v>5139</v>
      </c>
      <c r="R3802" s="366" t="s">
        <v>6086</v>
      </c>
      <c r="S3802" s="366">
        <v>551100</v>
      </c>
    </row>
    <row r="3803" spans="1:19" ht="15" hidden="1" outlineLevel="1">
      <c r="B3803" s="384">
        <v>2026</v>
      </c>
      <c r="C3803" s="384">
        <v>10</v>
      </c>
      <c r="D3803" s="367" t="s">
        <v>5</v>
      </c>
      <c r="E3803" s="367" t="s">
        <v>6</v>
      </c>
      <c r="F3803" s="389" t="s">
        <v>6080</v>
      </c>
      <c r="G3803" s="385">
        <v>46127</v>
      </c>
      <c r="H3803" s="367" t="s">
        <v>7</v>
      </c>
      <c r="I3803" s="368" t="str">
        <f>VLOOKUP(H3803,'[4]Source Codes'!A$2:B$115,2,FALSE)</f>
        <v>HRMS Interface Journals</v>
      </c>
      <c r="J3803" s="412">
        <v>-2693268.27</v>
      </c>
      <c r="K3803" s="385">
        <v>46132</v>
      </c>
      <c r="L3803" s="369" t="s">
        <v>409</v>
      </c>
      <c r="M3803" s="390">
        <v>46132.373113425929</v>
      </c>
      <c r="N3803" s="366" t="s">
        <v>378</v>
      </c>
      <c r="O3803" s="367" t="s">
        <v>379</v>
      </c>
      <c r="P3803" s="368" t="s">
        <v>2613</v>
      </c>
      <c r="Q3803" s="366" t="s">
        <v>379</v>
      </c>
      <c r="R3803" s="366" t="s">
        <v>6087</v>
      </c>
      <c r="S3803" s="366">
        <v>513120</v>
      </c>
    </row>
    <row r="3804" spans="1:19" ht="15" hidden="1" outlineLevel="1">
      <c r="B3804" s="384">
        <v>2026</v>
      </c>
      <c r="C3804" s="384">
        <v>10</v>
      </c>
      <c r="D3804" s="367" t="s">
        <v>5</v>
      </c>
      <c r="E3804" s="367" t="s">
        <v>6</v>
      </c>
      <c r="F3804" s="389" t="s">
        <v>6081</v>
      </c>
      <c r="G3804" s="385">
        <v>46127</v>
      </c>
      <c r="H3804" s="367" t="s">
        <v>7</v>
      </c>
      <c r="I3804" s="368" t="str">
        <f>VLOOKUP(H3804,'[4]Source Codes'!A$2:B$115,2,FALSE)</f>
        <v>HRMS Interface Journals</v>
      </c>
      <c r="J3804" s="412">
        <v>-13661636.060000001</v>
      </c>
      <c r="K3804" s="385">
        <v>46132</v>
      </c>
      <c r="L3804" s="369" t="s">
        <v>407</v>
      </c>
      <c r="M3804" s="390">
        <v>46132.362175925926</v>
      </c>
      <c r="N3804" s="366" t="s">
        <v>378</v>
      </c>
      <c r="O3804" s="367" t="s">
        <v>379</v>
      </c>
      <c r="P3804" s="368" t="s">
        <v>2613</v>
      </c>
      <c r="Q3804" s="366" t="s">
        <v>379</v>
      </c>
      <c r="R3804" s="366" t="s">
        <v>6087</v>
      </c>
      <c r="S3804" s="366" t="s">
        <v>203</v>
      </c>
    </row>
    <row r="3805" spans="1:19" ht="15" hidden="1" outlineLevel="1">
      <c r="B3805" s="384">
        <v>2026</v>
      </c>
      <c r="C3805" s="384">
        <v>10</v>
      </c>
      <c r="D3805" s="367" t="s">
        <v>5</v>
      </c>
      <c r="E3805" s="367" t="s">
        <v>6</v>
      </c>
      <c r="F3805" s="389" t="s">
        <v>6082</v>
      </c>
      <c r="G3805" s="385">
        <v>46127</v>
      </c>
      <c r="H3805" s="367" t="s">
        <v>7</v>
      </c>
      <c r="I3805" s="368" t="str">
        <f>VLOOKUP(H3805,'[4]Source Codes'!A$2:B$115,2,FALSE)</f>
        <v>HRMS Interface Journals</v>
      </c>
      <c r="J3805" s="412">
        <v>-76515084.769999996</v>
      </c>
      <c r="K3805" s="385">
        <v>46132</v>
      </c>
      <c r="L3805" s="369" t="s">
        <v>406</v>
      </c>
      <c r="M3805" s="390">
        <v>46132.370937500003</v>
      </c>
      <c r="N3805" s="366" t="s">
        <v>378</v>
      </c>
      <c r="O3805" s="367" t="s">
        <v>371</v>
      </c>
      <c r="P3805" s="368" t="s">
        <v>2613</v>
      </c>
      <c r="Q3805" s="366" t="s">
        <v>379</v>
      </c>
      <c r="R3805" s="366" t="s">
        <v>6087</v>
      </c>
      <c r="S3805" s="366" t="s">
        <v>203</v>
      </c>
    </row>
    <row r="3806" spans="1:19" ht="15" collapsed="1">
      <c r="J3806" s="413">
        <f>SUM(J3798:J3805)</f>
        <v>-67462701.399999991</v>
      </c>
    </row>
    <row r="3808" spans="1:19" ht="12.75" customHeight="1">
      <c r="A3808" s="378" t="s">
        <v>6088</v>
      </c>
    </row>
    <row r="3809" spans="1:19" ht="30" hidden="1" outlineLevel="1">
      <c r="B3809" s="384">
        <v>2026</v>
      </c>
      <c r="C3809" s="384">
        <v>10</v>
      </c>
      <c r="D3809" s="367" t="s">
        <v>5</v>
      </c>
      <c r="E3809" s="367" t="s">
        <v>6</v>
      </c>
      <c r="F3809" s="389" t="s">
        <v>6089</v>
      </c>
      <c r="G3809" s="385">
        <v>46129</v>
      </c>
      <c r="H3809" s="367" t="s">
        <v>12</v>
      </c>
      <c r="I3809" s="368" t="str">
        <f>VLOOKUP(H3809,'[4]Source Codes'!A$2:B$115,2,FALSE)</f>
        <v>AR Direct Cash Journal</v>
      </c>
      <c r="J3809" s="412">
        <v>11537208</v>
      </c>
      <c r="K3809" s="385">
        <v>46133</v>
      </c>
      <c r="L3809" s="369" t="s">
        <v>6101</v>
      </c>
      <c r="M3809" s="390">
        <v>46133.752187500002</v>
      </c>
      <c r="N3809" s="368" t="s">
        <v>387</v>
      </c>
      <c r="O3809" s="368" t="s">
        <v>358</v>
      </c>
      <c r="P3809" s="368" t="str">
        <f>IF(J3809&gt;0,"Revenue",IF(J3809&lt;0,"Expense"))</f>
        <v>Revenue</v>
      </c>
      <c r="Q3809" s="366" t="s">
        <v>2629</v>
      </c>
      <c r="R3809" s="366" t="s">
        <v>6100</v>
      </c>
      <c r="S3809" s="366">
        <v>782000</v>
      </c>
    </row>
    <row r="3810" spans="1:19" ht="30" hidden="1" outlineLevel="1">
      <c r="B3810" s="384">
        <v>2026</v>
      </c>
      <c r="C3810" s="384">
        <v>10</v>
      </c>
      <c r="D3810" s="367" t="s">
        <v>5</v>
      </c>
      <c r="E3810" s="367" t="s">
        <v>6</v>
      </c>
      <c r="F3810" s="389" t="s">
        <v>6090</v>
      </c>
      <c r="G3810" s="385">
        <v>46128</v>
      </c>
      <c r="H3810" s="367" t="s">
        <v>9</v>
      </c>
      <c r="I3810" s="368" t="str">
        <f>VLOOKUP(H3810,'[4]Source Codes'!A$2:B$115,2,FALSE)</f>
        <v>On Line Journal Entries</v>
      </c>
      <c r="J3810" s="412">
        <v>17727551</v>
      </c>
      <c r="K3810" s="385">
        <v>46133</v>
      </c>
      <c r="L3810" s="369" t="s">
        <v>344</v>
      </c>
      <c r="M3810" s="390">
        <v>46133.87023148148</v>
      </c>
      <c r="N3810" s="366" t="s">
        <v>356</v>
      </c>
      <c r="O3810" s="367" t="s">
        <v>364</v>
      </c>
      <c r="P3810" s="368" t="s">
        <v>2290</v>
      </c>
      <c r="Q3810" s="366" t="s">
        <v>2232</v>
      </c>
      <c r="R3810" s="366" t="s">
        <v>3454</v>
      </c>
      <c r="S3810" s="366" t="s">
        <v>2532</v>
      </c>
    </row>
    <row r="3811" spans="1:19" ht="30" hidden="1" outlineLevel="1">
      <c r="B3811" s="384">
        <v>2026</v>
      </c>
      <c r="C3811" s="384">
        <v>10</v>
      </c>
      <c r="D3811" s="367" t="s">
        <v>5</v>
      </c>
      <c r="E3811" s="367" t="s">
        <v>6</v>
      </c>
      <c r="F3811" s="389" t="s">
        <v>6091</v>
      </c>
      <c r="G3811" s="385">
        <v>46128</v>
      </c>
      <c r="H3811" s="367" t="s">
        <v>9</v>
      </c>
      <c r="I3811" s="368" t="str">
        <f>VLOOKUP(H3811,'[4]Source Codes'!A$2:B$115,2,FALSE)</f>
        <v>On Line Journal Entries</v>
      </c>
      <c r="J3811" s="412">
        <v>14632187</v>
      </c>
      <c r="K3811" s="385">
        <v>46133</v>
      </c>
      <c r="L3811" s="369" t="s">
        <v>344</v>
      </c>
      <c r="M3811" s="390">
        <v>46133.87023148148</v>
      </c>
      <c r="N3811" s="366" t="s">
        <v>356</v>
      </c>
      <c r="O3811" s="367" t="s">
        <v>364</v>
      </c>
      <c r="P3811" s="368" t="s">
        <v>2290</v>
      </c>
      <c r="Q3811" s="366" t="s">
        <v>2232</v>
      </c>
      <c r="R3811" s="366" t="s">
        <v>3454</v>
      </c>
      <c r="S3811" s="366" t="s">
        <v>2233</v>
      </c>
    </row>
    <row r="3812" spans="1:19" ht="30" hidden="1" outlineLevel="1">
      <c r="B3812" s="384">
        <v>2026</v>
      </c>
      <c r="C3812" s="384">
        <v>10</v>
      </c>
      <c r="D3812" s="367" t="s">
        <v>5</v>
      </c>
      <c r="E3812" s="367" t="s">
        <v>6</v>
      </c>
      <c r="F3812" s="389" t="s">
        <v>6092</v>
      </c>
      <c r="G3812" s="385">
        <v>46128</v>
      </c>
      <c r="H3812" s="367" t="s">
        <v>9</v>
      </c>
      <c r="I3812" s="368" t="str">
        <f>VLOOKUP(H3812,'[4]Source Codes'!A$2:B$115,2,FALSE)</f>
        <v>On Line Journal Entries</v>
      </c>
      <c r="J3812" s="412">
        <v>5949088</v>
      </c>
      <c r="K3812" s="385">
        <v>46133</v>
      </c>
      <c r="L3812" s="369" t="s">
        <v>344</v>
      </c>
      <c r="M3812" s="390">
        <v>46133.87023148148</v>
      </c>
      <c r="N3812" s="366" t="s">
        <v>356</v>
      </c>
      <c r="O3812" s="367" t="s">
        <v>364</v>
      </c>
      <c r="P3812" s="368" t="s">
        <v>2290</v>
      </c>
      <c r="Q3812" s="366" t="s">
        <v>2232</v>
      </c>
      <c r="R3812" s="366" t="s">
        <v>3454</v>
      </c>
      <c r="S3812" s="366" t="s">
        <v>2533</v>
      </c>
    </row>
    <row r="3813" spans="1:19" ht="30" hidden="1" outlineLevel="1">
      <c r="B3813" s="384">
        <v>2026</v>
      </c>
      <c r="C3813" s="384">
        <v>10</v>
      </c>
      <c r="D3813" s="367" t="s">
        <v>5</v>
      </c>
      <c r="E3813" s="367" t="s">
        <v>6</v>
      </c>
      <c r="F3813" s="389" t="s">
        <v>6093</v>
      </c>
      <c r="G3813" s="385">
        <v>46128</v>
      </c>
      <c r="H3813" s="367" t="s">
        <v>9</v>
      </c>
      <c r="I3813" s="368" t="str">
        <f>VLOOKUP(H3813,'[4]Source Codes'!A$2:B$115,2,FALSE)</f>
        <v>On Line Journal Entries</v>
      </c>
      <c r="J3813" s="412">
        <v>4685028</v>
      </c>
      <c r="K3813" s="385">
        <v>46133</v>
      </c>
      <c r="L3813" s="369" t="s">
        <v>344</v>
      </c>
      <c r="M3813" s="390">
        <v>46133.87023148148</v>
      </c>
      <c r="N3813" s="366" t="s">
        <v>356</v>
      </c>
      <c r="O3813" s="367" t="s">
        <v>364</v>
      </c>
      <c r="P3813" s="368" t="s">
        <v>2290</v>
      </c>
      <c r="Q3813" s="366" t="s">
        <v>2232</v>
      </c>
      <c r="R3813" s="366" t="s">
        <v>3454</v>
      </c>
      <c r="S3813" s="366" t="s">
        <v>2533</v>
      </c>
    </row>
    <row r="3814" spans="1:19" ht="30" hidden="1" outlineLevel="1">
      <c r="B3814" s="384">
        <v>2026</v>
      </c>
      <c r="C3814" s="384">
        <v>10</v>
      </c>
      <c r="D3814" s="367" t="s">
        <v>5</v>
      </c>
      <c r="E3814" s="367" t="s">
        <v>6</v>
      </c>
      <c r="F3814" s="389" t="s">
        <v>6094</v>
      </c>
      <c r="G3814" s="385">
        <v>46128</v>
      </c>
      <c r="H3814" s="367" t="s">
        <v>9</v>
      </c>
      <c r="I3814" s="368" t="str">
        <f>VLOOKUP(H3814,'[4]Source Codes'!A$2:B$115,2,FALSE)</f>
        <v>On Line Journal Entries</v>
      </c>
      <c r="J3814" s="412">
        <v>4398835</v>
      </c>
      <c r="K3814" s="385">
        <v>46133</v>
      </c>
      <c r="L3814" s="369" t="s">
        <v>6022</v>
      </c>
      <c r="M3814" s="390">
        <v>46133.87023148148</v>
      </c>
      <c r="N3814" s="366" t="s">
        <v>359</v>
      </c>
      <c r="O3814" s="367" t="s">
        <v>369</v>
      </c>
      <c r="P3814" s="368" t="s">
        <v>2290</v>
      </c>
      <c r="Q3814" s="366" t="s">
        <v>2268</v>
      </c>
      <c r="R3814" s="365">
        <v>46113</v>
      </c>
      <c r="S3814" s="366" t="s">
        <v>4726</v>
      </c>
    </row>
    <row r="3815" spans="1:19" ht="60" hidden="1" outlineLevel="1">
      <c r="B3815" s="384">
        <v>2026</v>
      </c>
      <c r="C3815" s="384">
        <v>10</v>
      </c>
      <c r="D3815" s="367" t="s">
        <v>5</v>
      </c>
      <c r="E3815" s="367" t="s">
        <v>6</v>
      </c>
      <c r="F3815" s="389" t="s">
        <v>6095</v>
      </c>
      <c r="G3815" s="385">
        <v>46126</v>
      </c>
      <c r="H3815" s="367" t="s">
        <v>9</v>
      </c>
      <c r="I3815" s="368" t="str">
        <f>VLOOKUP(H3815,'[4]Source Codes'!A$2:B$115,2,FALSE)</f>
        <v>On Line Journal Entries</v>
      </c>
      <c r="J3815" s="412">
        <v>3807326.97</v>
      </c>
      <c r="K3815" s="385">
        <v>46133</v>
      </c>
      <c r="L3815" s="369" t="s">
        <v>347</v>
      </c>
      <c r="M3815" s="390">
        <v>46133.650740740741</v>
      </c>
      <c r="N3815" s="366" t="s">
        <v>359</v>
      </c>
      <c r="O3815" s="367" t="s">
        <v>364</v>
      </c>
      <c r="P3815" s="368" t="s">
        <v>2290</v>
      </c>
      <c r="Q3815" s="366" t="s">
        <v>2232</v>
      </c>
      <c r="R3815" s="366" t="s">
        <v>2232</v>
      </c>
      <c r="S3815" s="366">
        <v>755924</v>
      </c>
    </row>
    <row r="3816" spans="1:19" ht="30" hidden="1" outlineLevel="1">
      <c r="B3816" s="384">
        <v>2026</v>
      </c>
      <c r="C3816" s="384">
        <v>10</v>
      </c>
      <c r="D3816" s="367" t="s">
        <v>5</v>
      </c>
      <c r="E3816" s="367" t="s">
        <v>6</v>
      </c>
      <c r="F3816" s="389" t="s">
        <v>6096</v>
      </c>
      <c r="G3816" s="385">
        <v>46133</v>
      </c>
      <c r="H3816" s="367" t="s">
        <v>9</v>
      </c>
      <c r="I3816" s="368" t="str">
        <f>VLOOKUP(H3816,'[4]Source Codes'!A$2:B$115,2,FALSE)</f>
        <v>On Line Journal Entries</v>
      </c>
      <c r="J3816" s="412">
        <v>3541956.13</v>
      </c>
      <c r="K3816" s="385">
        <v>46133</v>
      </c>
      <c r="L3816" s="369" t="s">
        <v>6098</v>
      </c>
      <c r="M3816" s="390">
        <v>46133.87023148148</v>
      </c>
      <c r="N3816" s="368" t="s">
        <v>361</v>
      </c>
      <c r="O3816" s="368" t="s">
        <v>1180</v>
      </c>
      <c r="P3816" s="368" t="str">
        <f t="shared" ref="P3816" si="154">IF(J3816&gt;0,"Revenue",IF(J3816&lt;0,"Expense"))</f>
        <v>Revenue</v>
      </c>
      <c r="Q3816" s="366" t="s">
        <v>6102</v>
      </c>
      <c r="R3816" s="365">
        <v>46113</v>
      </c>
      <c r="S3816" s="381">
        <v>781680</v>
      </c>
    </row>
    <row r="3817" spans="1:19" ht="30" hidden="1" outlineLevel="1">
      <c r="B3817" s="384">
        <v>2026</v>
      </c>
      <c r="C3817" s="384">
        <v>10</v>
      </c>
      <c r="D3817" s="367" t="s">
        <v>5</v>
      </c>
      <c r="E3817" s="367" t="s">
        <v>6</v>
      </c>
      <c r="F3817" s="389" t="s">
        <v>6097</v>
      </c>
      <c r="G3817" s="385">
        <v>46133</v>
      </c>
      <c r="H3817" s="367" t="s">
        <v>337</v>
      </c>
      <c r="I3817" s="368" t="str">
        <f>VLOOKUP(H3817,'[4]Source Codes'!A$2:B$115,2,FALSE)</f>
        <v>Facilities Mngmnt Intfc Jrnls</v>
      </c>
      <c r="J3817" s="412">
        <v>-1206649.71</v>
      </c>
      <c r="K3817" s="385">
        <v>46133</v>
      </c>
      <c r="L3817" s="369" t="s">
        <v>6099</v>
      </c>
      <c r="M3817" s="390">
        <v>46133.87027777778</v>
      </c>
      <c r="N3817" s="368" t="s">
        <v>2185</v>
      </c>
      <c r="O3817" s="367" t="s">
        <v>367</v>
      </c>
      <c r="P3817" s="368" t="s">
        <v>2613</v>
      </c>
      <c r="Q3817" s="366" t="s">
        <v>2237</v>
      </c>
      <c r="R3817" s="365" t="s">
        <v>2334</v>
      </c>
      <c r="S3817" s="395" t="s">
        <v>5433</v>
      </c>
    </row>
    <row r="3818" spans="1:19" ht="12.75" customHeight="1" collapsed="1">
      <c r="I3818" s="368"/>
      <c r="J3818" s="413">
        <f>SUM(J3809:J3817)</f>
        <v>65072530.390000001</v>
      </c>
    </row>
    <row r="3819" spans="1:19" ht="12.75" customHeight="1">
      <c r="I3819" s="368"/>
    </row>
    <row r="3820" spans="1:19" ht="15" hidden="1" outlineLevel="2">
      <c r="A3820" s="378" t="s">
        <v>6103</v>
      </c>
      <c r="I3820" s="368"/>
    </row>
    <row r="3821" spans="1:19" ht="30" hidden="1" outlineLevel="2">
      <c r="B3821" s="384">
        <v>2026</v>
      </c>
      <c r="C3821" s="384">
        <v>10</v>
      </c>
      <c r="D3821" s="367" t="s">
        <v>5</v>
      </c>
      <c r="E3821" s="367" t="s">
        <v>6</v>
      </c>
      <c r="F3821" s="389" t="s">
        <v>6104</v>
      </c>
      <c r="G3821" s="385">
        <v>46135</v>
      </c>
      <c r="H3821" s="367" t="s">
        <v>12</v>
      </c>
      <c r="I3821" s="368" t="str">
        <f>VLOOKUP(H3821,'[4]Source Codes'!A$2:B$115,2,FALSE)</f>
        <v>AR Direct Cash Journal</v>
      </c>
      <c r="J3821" s="412">
        <v>1455233.99</v>
      </c>
      <c r="K3821" s="385">
        <v>46135</v>
      </c>
      <c r="L3821" s="369" t="s">
        <v>6109</v>
      </c>
      <c r="M3821" s="390">
        <v>46135.752129629633</v>
      </c>
      <c r="N3821" s="368" t="s">
        <v>387</v>
      </c>
      <c r="O3821" s="368" t="s">
        <v>390</v>
      </c>
      <c r="P3821" s="368" t="s">
        <v>2290</v>
      </c>
      <c r="Q3821" s="366" t="s">
        <v>6109</v>
      </c>
      <c r="R3821" s="366" t="s">
        <v>6110</v>
      </c>
      <c r="S3821" s="366">
        <v>752020</v>
      </c>
    </row>
    <row r="3822" spans="1:19" ht="45" hidden="1" outlineLevel="2">
      <c r="B3822" s="384">
        <v>2026</v>
      </c>
      <c r="C3822" s="384">
        <v>10</v>
      </c>
      <c r="D3822" s="367" t="s">
        <v>5</v>
      </c>
      <c r="E3822" s="367" t="s">
        <v>6</v>
      </c>
      <c r="F3822" s="389" t="s">
        <v>6105</v>
      </c>
      <c r="G3822" s="385">
        <v>46134</v>
      </c>
      <c r="H3822" s="367" t="s">
        <v>11</v>
      </c>
      <c r="I3822" s="368" t="str">
        <f>VLOOKUP(H3822,'[4]Source Codes'!A$2:B$115,2,FALSE)</f>
        <v>AR Payments</v>
      </c>
      <c r="J3822" s="412">
        <v>2750061.1</v>
      </c>
      <c r="K3822" s="385">
        <v>46135</v>
      </c>
      <c r="L3822" s="369" t="s">
        <v>784</v>
      </c>
      <c r="M3822" s="390">
        <v>46135.752129629633</v>
      </c>
      <c r="N3822" s="368" t="s">
        <v>356</v>
      </c>
      <c r="O3822" s="368" t="s">
        <v>357</v>
      </c>
      <c r="P3822" s="368" t="s">
        <v>2290</v>
      </c>
      <c r="Q3822" s="366" t="s">
        <v>2157</v>
      </c>
      <c r="R3822" s="366" t="s">
        <v>2157</v>
      </c>
      <c r="S3822" s="366" t="s">
        <v>2278</v>
      </c>
    </row>
    <row r="3823" spans="1:19" ht="30" hidden="1" outlineLevel="2">
      <c r="B3823" s="384">
        <v>2026</v>
      </c>
      <c r="C3823" s="384">
        <v>10</v>
      </c>
      <c r="D3823" s="367" t="s">
        <v>5</v>
      </c>
      <c r="E3823" s="367" t="s">
        <v>6</v>
      </c>
      <c r="F3823" s="389" t="s">
        <v>6106</v>
      </c>
      <c r="G3823" s="385">
        <v>46135</v>
      </c>
      <c r="H3823" s="367" t="s">
        <v>11</v>
      </c>
      <c r="I3823" s="368" t="str">
        <f>VLOOKUP(H3823,'[4]Source Codes'!A$2:B$115,2,FALSE)</f>
        <v>AR Payments</v>
      </c>
      <c r="J3823" s="412">
        <v>2181585.5699999998</v>
      </c>
      <c r="K3823" s="385">
        <v>46135</v>
      </c>
      <c r="L3823" s="369" t="s">
        <v>6111</v>
      </c>
      <c r="M3823" s="390">
        <v>46135.752129629633</v>
      </c>
      <c r="N3823" s="368" t="s">
        <v>356</v>
      </c>
      <c r="O3823" s="368" t="s">
        <v>357</v>
      </c>
      <c r="P3823" s="368" t="s">
        <v>2290</v>
      </c>
      <c r="Q3823" s="366" t="s">
        <v>2157</v>
      </c>
      <c r="R3823" s="366" t="s">
        <v>2157</v>
      </c>
      <c r="S3823" s="366" t="s">
        <v>2293</v>
      </c>
    </row>
    <row r="3824" spans="1:19" ht="30" hidden="1" outlineLevel="2">
      <c r="B3824" s="384">
        <v>2026</v>
      </c>
      <c r="C3824" s="384">
        <v>10</v>
      </c>
      <c r="D3824" s="367" t="s">
        <v>5</v>
      </c>
      <c r="E3824" s="367" t="s">
        <v>6</v>
      </c>
      <c r="F3824" s="389" t="s">
        <v>6107</v>
      </c>
      <c r="G3824" s="385">
        <v>46134</v>
      </c>
      <c r="H3824" s="367" t="s">
        <v>337</v>
      </c>
      <c r="I3824" s="368" t="str">
        <f>VLOOKUP(H3824,'[4]Source Codes'!A$2:B$115,2,FALSE)</f>
        <v>Facilities Mngmnt Intfc Jrnls</v>
      </c>
      <c r="J3824" s="412">
        <v>-4502864.1900000004</v>
      </c>
      <c r="K3824" s="385">
        <v>46135</v>
      </c>
      <c r="L3824" s="369" t="s">
        <v>6108</v>
      </c>
      <c r="M3824" s="390">
        <v>46135.512916666667</v>
      </c>
      <c r="N3824" s="368" t="s">
        <v>356</v>
      </c>
      <c r="O3824" s="368" t="s">
        <v>367</v>
      </c>
      <c r="P3824" s="368" t="str">
        <f t="shared" ref="P3824" si="155">IF(J3824&gt;0,"Revenue",IF(J3824&lt;0,"Expense"))</f>
        <v>Expense</v>
      </c>
      <c r="Q3824" s="366" t="s">
        <v>2237</v>
      </c>
      <c r="R3824" s="366" t="s">
        <v>5849</v>
      </c>
      <c r="S3824" s="366" t="s">
        <v>5661</v>
      </c>
    </row>
    <row r="3825" spans="1:19" ht="12.75" hidden="1" customHeight="1" outlineLevel="1" collapsed="1">
      <c r="J3825" s="413">
        <f>SUM(J3821:J3824)</f>
        <v>1884016.4699999997</v>
      </c>
    </row>
    <row r="3826" spans="1:19" ht="12.75" customHeight="1" collapsed="1"/>
    <row r="3827" spans="1:19" ht="12.75" customHeight="1">
      <c r="A3827" s="378" t="s">
        <v>6112</v>
      </c>
    </row>
    <row r="3828" spans="1:19" ht="30" hidden="1" outlineLevel="1">
      <c r="B3828" s="384">
        <v>2026</v>
      </c>
      <c r="C3828" s="384">
        <v>10</v>
      </c>
      <c r="D3828" s="367" t="s">
        <v>5</v>
      </c>
      <c r="E3828" s="367" t="s">
        <v>6</v>
      </c>
      <c r="F3828" s="389" t="s">
        <v>6113</v>
      </c>
      <c r="G3828" s="385">
        <v>46140</v>
      </c>
      <c r="H3828" s="367" t="s">
        <v>14</v>
      </c>
      <c r="I3828" s="368" t="str">
        <f>VLOOKUP(H3828,'[4]Source Codes'!A$2:B$115,2,FALSE)</f>
        <v>AP Warrant Issuance</v>
      </c>
      <c r="J3828" s="412">
        <v>-1493672.53</v>
      </c>
      <c r="K3828" s="385">
        <v>46136</v>
      </c>
      <c r="L3828" s="369" t="s">
        <v>6119</v>
      </c>
      <c r="M3828" s="390">
        <v>46136.766979166663</v>
      </c>
      <c r="N3828" s="366" t="s">
        <v>356</v>
      </c>
      <c r="O3828" s="367" t="s">
        <v>368</v>
      </c>
      <c r="P3828" s="368" t="str">
        <f t="shared" ref="P3828:P3832" si="156">IF(J3828&gt;0,"Revenue",IF(J3828&lt;0,"Expense"))</f>
        <v>Expense</v>
      </c>
      <c r="Q3828" s="366" t="s">
        <v>5835</v>
      </c>
      <c r="R3828" s="366" t="s">
        <v>5835</v>
      </c>
      <c r="S3828" s="366" t="s">
        <v>203</v>
      </c>
    </row>
    <row r="3829" spans="1:19" ht="30" hidden="1" outlineLevel="1">
      <c r="B3829" s="384">
        <v>2026</v>
      </c>
      <c r="C3829" s="384">
        <v>10</v>
      </c>
      <c r="D3829" s="367" t="s">
        <v>5</v>
      </c>
      <c r="E3829" s="367" t="s">
        <v>6</v>
      </c>
      <c r="F3829" s="389" t="s">
        <v>6114</v>
      </c>
      <c r="G3829" s="385">
        <v>46136</v>
      </c>
      <c r="H3829" s="367" t="s">
        <v>14</v>
      </c>
      <c r="I3829" s="368" t="str">
        <f>VLOOKUP(H3829,'[4]Source Codes'!A$2:B$115,2,FALSE)</f>
        <v>AP Warrant Issuance</v>
      </c>
      <c r="J3829" s="412">
        <v>-1056171.42</v>
      </c>
      <c r="K3829" s="385">
        <v>46136</v>
      </c>
      <c r="L3829" s="369" t="s">
        <v>6120</v>
      </c>
      <c r="M3829" s="390">
        <v>46136.766979166663</v>
      </c>
      <c r="N3829" s="366" t="s">
        <v>356</v>
      </c>
      <c r="O3829" s="367" t="s">
        <v>368</v>
      </c>
      <c r="P3829" s="368" t="str">
        <f t="shared" si="156"/>
        <v>Expense</v>
      </c>
      <c r="Q3829" s="366" t="s">
        <v>5835</v>
      </c>
      <c r="R3829" s="366" t="s">
        <v>5835</v>
      </c>
      <c r="S3829" s="366" t="s">
        <v>203</v>
      </c>
    </row>
    <row r="3830" spans="1:19" ht="45" hidden="1" outlineLevel="1">
      <c r="B3830" s="384">
        <v>2026</v>
      </c>
      <c r="C3830" s="384">
        <v>10</v>
      </c>
      <c r="D3830" s="367" t="s">
        <v>5</v>
      </c>
      <c r="E3830" s="367" t="s">
        <v>6</v>
      </c>
      <c r="F3830" s="389" t="s">
        <v>6115</v>
      </c>
      <c r="G3830" s="385">
        <v>46136</v>
      </c>
      <c r="H3830" s="367" t="s">
        <v>12</v>
      </c>
      <c r="I3830" s="368" t="str">
        <f>VLOOKUP(H3830,'[4]Source Codes'!A$2:B$115,2,FALSE)</f>
        <v>AR Direct Cash Journal</v>
      </c>
      <c r="J3830" s="412">
        <v>3251705.52</v>
      </c>
      <c r="K3830" s="385">
        <v>46136</v>
      </c>
      <c r="L3830" s="369" t="s">
        <v>6121</v>
      </c>
      <c r="M3830" s="390">
        <v>46136.752488425926</v>
      </c>
      <c r="N3830" s="366" t="s">
        <v>359</v>
      </c>
      <c r="O3830" s="367" t="s">
        <v>371</v>
      </c>
      <c r="P3830" s="368" t="str">
        <f t="shared" si="156"/>
        <v>Revenue</v>
      </c>
      <c r="Q3830" s="366" t="s">
        <v>2316</v>
      </c>
      <c r="R3830" s="366" t="s">
        <v>5699</v>
      </c>
      <c r="S3830" s="366">
        <v>710020</v>
      </c>
    </row>
    <row r="3831" spans="1:19" ht="90" hidden="1" outlineLevel="1">
      <c r="B3831" s="384">
        <v>2026</v>
      </c>
      <c r="C3831" s="384">
        <v>10</v>
      </c>
      <c r="D3831" s="367" t="s">
        <v>5</v>
      </c>
      <c r="E3831" s="367" t="s">
        <v>6</v>
      </c>
      <c r="F3831" s="389" t="s">
        <v>6116</v>
      </c>
      <c r="G3831" s="385">
        <v>46136</v>
      </c>
      <c r="H3831" s="367" t="s">
        <v>11</v>
      </c>
      <c r="I3831" s="368" t="str">
        <f>VLOOKUP(H3831,'[4]Source Codes'!A$2:B$115,2,FALSE)</f>
        <v>AR Payments</v>
      </c>
      <c r="J3831" s="412">
        <v>1286171.31</v>
      </c>
      <c r="K3831" s="385">
        <v>46136</v>
      </c>
      <c r="L3831" s="369" t="s">
        <v>6122</v>
      </c>
      <c r="M3831" s="390">
        <v>46136.752488425926</v>
      </c>
      <c r="N3831" s="366" t="s">
        <v>356</v>
      </c>
      <c r="O3831" s="367" t="s">
        <v>357</v>
      </c>
      <c r="P3831" s="368" t="str">
        <f t="shared" si="156"/>
        <v>Revenue</v>
      </c>
      <c r="Q3831" s="366" t="s">
        <v>2157</v>
      </c>
      <c r="R3831" s="366" t="s">
        <v>2157</v>
      </c>
      <c r="S3831" s="366" t="s">
        <v>4360</v>
      </c>
    </row>
    <row r="3832" spans="1:19" ht="15" hidden="1" outlineLevel="1">
      <c r="B3832" s="384">
        <v>2026</v>
      </c>
      <c r="C3832" s="384">
        <v>10</v>
      </c>
      <c r="D3832" s="367" t="s">
        <v>5</v>
      </c>
      <c r="E3832" s="367" t="s">
        <v>6</v>
      </c>
      <c r="F3832" s="389" t="s">
        <v>6117</v>
      </c>
      <c r="G3832" s="385">
        <v>46136</v>
      </c>
      <c r="H3832" s="367" t="s">
        <v>110</v>
      </c>
      <c r="I3832" s="368" t="str">
        <f>VLOOKUP(H3832,'[4]Source Codes'!A$2:B$115,2,FALSE)</f>
        <v>Treasurers Interest Apportion</v>
      </c>
      <c r="J3832" s="412">
        <v>1426605.36</v>
      </c>
      <c r="K3832" s="385">
        <v>46136</v>
      </c>
      <c r="L3832" s="369" t="s">
        <v>6118</v>
      </c>
      <c r="M3832" s="390">
        <v>46136.437905092593</v>
      </c>
      <c r="N3832" s="366" t="s">
        <v>361</v>
      </c>
      <c r="O3832" s="367" t="s">
        <v>371</v>
      </c>
      <c r="P3832" s="368" t="str">
        <f t="shared" si="156"/>
        <v>Revenue</v>
      </c>
      <c r="Q3832" s="366" t="s">
        <v>2363</v>
      </c>
      <c r="R3832" s="366" t="s">
        <v>6123</v>
      </c>
      <c r="S3832" s="366">
        <v>740020</v>
      </c>
    </row>
    <row r="3833" spans="1:19" ht="15" collapsed="1">
      <c r="J3833" s="413">
        <f>SUM(J3828:J3832)</f>
        <v>3414638.24</v>
      </c>
    </row>
    <row r="3835" spans="1:19" ht="12.75" customHeight="1">
      <c r="A3835" s="378" t="s">
        <v>6124</v>
      </c>
    </row>
    <row r="3836" spans="1:19" ht="30" hidden="1" outlineLevel="1">
      <c r="B3836" s="384">
        <v>2026</v>
      </c>
      <c r="C3836" s="384">
        <v>10</v>
      </c>
      <c r="D3836" s="367" t="s">
        <v>5</v>
      </c>
      <c r="E3836" s="367" t="s">
        <v>6</v>
      </c>
      <c r="F3836" s="389" t="s">
        <v>6125</v>
      </c>
      <c r="G3836" s="385">
        <v>46139</v>
      </c>
      <c r="H3836" s="367" t="s">
        <v>14</v>
      </c>
      <c r="I3836" s="368" t="str">
        <f>VLOOKUP(H3836,'[4]Source Codes'!A$2:B$115,2,FALSE)</f>
        <v>AP Warrant Issuance</v>
      </c>
      <c r="J3836" s="412">
        <v>-1045777.68</v>
      </c>
      <c r="K3836" s="385">
        <v>46139</v>
      </c>
      <c r="L3836" s="369" t="s">
        <v>6137</v>
      </c>
      <c r="M3836" s="390">
        <v>46139.758125</v>
      </c>
      <c r="N3836" s="366" t="s">
        <v>356</v>
      </c>
      <c r="O3836" s="367" t="s">
        <v>357</v>
      </c>
      <c r="P3836" s="368" t="str">
        <f t="shared" ref="P3836:P3844" si="157">IF(J3836&gt;0,"Revenue",IF(J3836&lt;0,"Expense"))</f>
        <v>Expense</v>
      </c>
      <c r="Q3836" s="366" t="s">
        <v>2309</v>
      </c>
      <c r="R3836" s="366" t="s">
        <v>2310</v>
      </c>
      <c r="S3836" s="366" t="s">
        <v>203</v>
      </c>
    </row>
    <row r="3837" spans="1:19" ht="60" hidden="1" outlineLevel="1">
      <c r="B3837" s="384">
        <v>2026</v>
      </c>
      <c r="C3837" s="384">
        <v>10</v>
      </c>
      <c r="D3837" s="367" t="s">
        <v>5</v>
      </c>
      <c r="E3837" s="367" t="s">
        <v>6</v>
      </c>
      <c r="F3837" s="389" t="s">
        <v>6126</v>
      </c>
      <c r="G3837" s="385">
        <v>46139</v>
      </c>
      <c r="H3837" s="367" t="s">
        <v>12</v>
      </c>
      <c r="I3837" s="368" t="str">
        <f>VLOOKUP(H3837,'[4]Source Codes'!A$2:B$115,2,FALSE)</f>
        <v>AR Direct Cash Journal</v>
      </c>
      <c r="J3837" s="412">
        <v>1740080.2</v>
      </c>
      <c r="K3837" s="385">
        <v>46139</v>
      </c>
      <c r="L3837" s="369" t="s">
        <v>6139</v>
      </c>
      <c r="M3837" s="390">
        <v>46139.751967592594</v>
      </c>
      <c r="N3837" s="366" t="s">
        <v>356</v>
      </c>
      <c r="O3837" s="367" t="s">
        <v>371</v>
      </c>
      <c r="P3837" s="368" t="str">
        <f t="shared" si="157"/>
        <v>Revenue</v>
      </c>
      <c r="Q3837" s="366" t="s">
        <v>2346</v>
      </c>
      <c r="R3837" s="366" t="s">
        <v>6138</v>
      </c>
      <c r="S3837" s="366">
        <v>750250</v>
      </c>
    </row>
    <row r="3838" spans="1:19" ht="45" hidden="1" outlineLevel="1">
      <c r="B3838" s="384">
        <v>2026</v>
      </c>
      <c r="C3838" s="384">
        <v>10</v>
      </c>
      <c r="D3838" s="367" t="s">
        <v>5</v>
      </c>
      <c r="E3838" s="367" t="s">
        <v>6</v>
      </c>
      <c r="F3838" s="389" t="s">
        <v>6127</v>
      </c>
      <c r="G3838" s="385">
        <v>46133</v>
      </c>
      <c r="H3838" s="367" t="s">
        <v>12</v>
      </c>
      <c r="I3838" s="368" t="str">
        <f>VLOOKUP(H3838,'[4]Source Codes'!A$2:B$115,2,FALSE)</f>
        <v>AR Direct Cash Journal</v>
      </c>
      <c r="J3838" s="412">
        <v>3264154.74</v>
      </c>
      <c r="K3838" s="385">
        <v>46139</v>
      </c>
      <c r="L3838" s="369" t="s">
        <v>6140</v>
      </c>
      <c r="M3838" s="390">
        <v>46139.751967592594</v>
      </c>
      <c r="N3838" s="366" t="s">
        <v>361</v>
      </c>
      <c r="O3838" s="367" t="s">
        <v>368</v>
      </c>
      <c r="P3838" s="368" t="str">
        <f t="shared" si="157"/>
        <v>Revenue</v>
      </c>
      <c r="Q3838" s="366" t="s">
        <v>2177</v>
      </c>
      <c r="R3838" s="366" t="s">
        <v>3123</v>
      </c>
      <c r="S3838" s="366">
        <v>767210</v>
      </c>
    </row>
    <row r="3839" spans="1:19" ht="30" hidden="1" outlineLevel="1">
      <c r="B3839" s="384">
        <v>2026</v>
      </c>
      <c r="C3839" s="384">
        <v>10</v>
      </c>
      <c r="D3839" s="367" t="s">
        <v>5</v>
      </c>
      <c r="E3839" s="367" t="s">
        <v>6</v>
      </c>
      <c r="F3839" s="389" t="s">
        <v>6128</v>
      </c>
      <c r="G3839" s="385">
        <v>46121</v>
      </c>
      <c r="H3839" s="367" t="s">
        <v>12</v>
      </c>
      <c r="I3839" s="368" t="str">
        <f>VLOOKUP(H3839,'[4]Source Codes'!A$2:B$115,2,FALSE)</f>
        <v>AR Direct Cash Journal</v>
      </c>
      <c r="J3839" s="412">
        <v>16163544.85</v>
      </c>
      <c r="K3839" s="385">
        <v>46139</v>
      </c>
      <c r="L3839" s="369" t="s">
        <v>6142</v>
      </c>
      <c r="M3839" s="390">
        <v>46139.751967592594</v>
      </c>
      <c r="N3839" s="366" t="s">
        <v>356</v>
      </c>
      <c r="O3839" s="367" t="s">
        <v>368</v>
      </c>
      <c r="P3839" s="368" t="str">
        <f t="shared" si="157"/>
        <v>Revenue</v>
      </c>
      <c r="Q3839" s="366" t="s">
        <v>2177</v>
      </c>
      <c r="R3839" s="366" t="s">
        <v>2214</v>
      </c>
      <c r="S3839" s="366" t="s">
        <v>6141</v>
      </c>
    </row>
    <row r="3840" spans="1:19" ht="45" hidden="1" outlineLevel="1">
      <c r="B3840" s="384">
        <v>2026</v>
      </c>
      <c r="C3840" s="384">
        <v>10</v>
      </c>
      <c r="D3840" s="367" t="s">
        <v>5</v>
      </c>
      <c r="E3840" s="367" t="s">
        <v>6</v>
      </c>
      <c r="F3840" s="389" t="s">
        <v>6129</v>
      </c>
      <c r="G3840" s="385">
        <v>46135</v>
      </c>
      <c r="H3840" s="367" t="s">
        <v>12</v>
      </c>
      <c r="I3840" s="368" t="str">
        <f>VLOOKUP(H3840,'[4]Source Codes'!A$2:B$115,2,FALSE)</f>
        <v>AR Direct Cash Journal</v>
      </c>
      <c r="J3840" s="412">
        <v>21005112.559999999</v>
      </c>
      <c r="K3840" s="385">
        <v>46139</v>
      </c>
      <c r="L3840" s="369" t="s">
        <v>6144</v>
      </c>
      <c r="M3840" s="390">
        <v>46139.751967592594</v>
      </c>
      <c r="N3840" s="366" t="s">
        <v>356</v>
      </c>
      <c r="O3840" s="367" t="s">
        <v>368</v>
      </c>
      <c r="P3840" s="368" t="str">
        <f t="shared" si="157"/>
        <v>Revenue</v>
      </c>
      <c r="Q3840" s="366" t="s">
        <v>2177</v>
      </c>
      <c r="R3840" s="366" t="s">
        <v>2214</v>
      </c>
      <c r="S3840" s="366" t="s">
        <v>6143</v>
      </c>
    </row>
    <row r="3841" spans="1:19" ht="75" hidden="1" outlineLevel="1">
      <c r="B3841" s="384">
        <v>2026</v>
      </c>
      <c r="C3841" s="384">
        <v>10</v>
      </c>
      <c r="D3841" s="367" t="s">
        <v>5</v>
      </c>
      <c r="E3841" s="367" t="s">
        <v>6</v>
      </c>
      <c r="F3841" s="389" t="s">
        <v>6130</v>
      </c>
      <c r="G3841" s="385">
        <v>46136</v>
      </c>
      <c r="H3841" s="367" t="s">
        <v>11</v>
      </c>
      <c r="I3841" s="368" t="str">
        <f>VLOOKUP(H3841,'[4]Source Codes'!A$2:B$115,2,FALSE)</f>
        <v>AR Payments</v>
      </c>
      <c r="J3841" s="412">
        <v>3728706.21</v>
      </c>
      <c r="K3841" s="385">
        <v>46139</v>
      </c>
      <c r="L3841" s="369" t="s">
        <v>6145</v>
      </c>
      <c r="M3841" s="390">
        <v>46139.751967592594</v>
      </c>
      <c r="N3841" s="366" t="s">
        <v>359</v>
      </c>
      <c r="O3841" s="367" t="s">
        <v>357</v>
      </c>
      <c r="P3841" s="368" t="str">
        <f t="shared" si="157"/>
        <v>Revenue</v>
      </c>
      <c r="Q3841" s="366" t="s">
        <v>2157</v>
      </c>
      <c r="R3841" s="366" t="s">
        <v>2157</v>
      </c>
      <c r="S3841" s="366" t="s">
        <v>3863</v>
      </c>
    </row>
    <row r="3842" spans="1:19" ht="30" hidden="1" outlineLevel="1">
      <c r="B3842" s="384">
        <v>2026</v>
      </c>
      <c r="C3842" s="384">
        <v>10</v>
      </c>
      <c r="D3842" s="367" t="s">
        <v>5</v>
      </c>
      <c r="E3842" s="367" t="s">
        <v>6</v>
      </c>
      <c r="F3842" s="389" t="s">
        <v>6131</v>
      </c>
      <c r="G3842" s="385">
        <v>46132</v>
      </c>
      <c r="H3842" s="367" t="s">
        <v>9</v>
      </c>
      <c r="I3842" s="368" t="str">
        <f>VLOOKUP(H3842,'[4]Source Codes'!A$2:B$115,2,FALSE)</f>
        <v>On Line Journal Entries</v>
      </c>
      <c r="J3842" s="412">
        <v>2480239.88</v>
      </c>
      <c r="K3842" s="385">
        <v>46139</v>
      </c>
      <c r="L3842" s="369" t="s">
        <v>6134</v>
      </c>
      <c r="M3842" s="390">
        <v>46139.552870370368</v>
      </c>
      <c r="N3842" s="366" t="s">
        <v>361</v>
      </c>
      <c r="O3842" s="367" t="s">
        <v>376</v>
      </c>
      <c r="P3842" s="368" t="str">
        <f t="shared" si="157"/>
        <v>Revenue</v>
      </c>
      <c r="Q3842" s="366" t="s">
        <v>2657</v>
      </c>
      <c r="R3842" s="366" t="s">
        <v>6146</v>
      </c>
      <c r="S3842" s="366">
        <v>755932</v>
      </c>
    </row>
    <row r="3843" spans="1:19" ht="15" hidden="1" outlineLevel="1">
      <c r="B3843" s="384">
        <v>2026</v>
      </c>
      <c r="C3843" s="384">
        <v>10</v>
      </c>
      <c r="D3843" s="367" t="s">
        <v>5</v>
      </c>
      <c r="E3843" s="367" t="s">
        <v>6</v>
      </c>
      <c r="F3843" s="389" t="s">
        <v>6132</v>
      </c>
      <c r="G3843" s="385">
        <v>46133</v>
      </c>
      <c r="H3843" s="367" t="s">
        <v>9</v>
      </c>
      <c r="I3843" s="368" t="str">
        <f>VLOOKUP(H3843,'[4]Source Codes'!A$2:B$115,2,FALSE)</f>
        <v>On Line Journal Entries</v>
      </c>
      <c r="J3843" s="412">
        <v>1294090</v>
      </c>
      <c r="K3843" s="385">
        <v>46139</v>
      </c>
      <c r="L3843" s="369" t="s">
        <v>6135</v>
      </c>
      <c r="M3843" s="390">
        <v>46139.363888888889</v>
      </c>
      <c r="N3843" s="368" t="s">
        <v>387</v>
      </c>
      <c r="O3843" s="368" t="s">
        <v>363</v>
      </c>
      <c r="P3843" s="368" t="str">
        <f t="shared" si="157"/>
        <v>Revenue</v>
      </c>
      <c r="Q3843" s="366" t="s">
        <v>3374</v>
      </c>
      <c r="R3843" s="365" t="s">
        <v>3375</v>
      </c>
      <c r="S3843" s="366">
        <v>778330</v>
      </c>
    </row>
    <row r="3844" spans="1:19" ht="30" hidden="1" outlineLevel="1">
      <c r="B3844" s="384">
        <v>2026</v>
      </c>
      <c r="C3844" s="384">
        <v>10</v>
      </c>
      <c r="D3844" s="367" t="s">
        <v>5</v>
      </c>
      <c r="E3844" s="367" t="s">
        <v>6</v>
      </c>
      <c r="F3844" s="389" t="s">
        <v>6133</v>
      </c>
      <c r="G3844" s="385">
        <v>46135</v>
      </c>
      <c r="H3844" s="367" t="s">
        <v>9</v>
      </c>
      <c r="I3844" s="368" t="str">
        <f>VLOOKUP(H3844,'[4]Source Codes'!A$2:B$115,2,FALSE)</f>
        <v>On Line Journal Entries</v>
      </c>
      <c r="J3844" s="412">
        <v>1229461.21</v>
      </c>
      <c r="K3844" s="385">
        <v>46139</v>
      </c>
      <c r="L3844" s="369" t="s">
        <v>6136</v>
      </c>
      <c r="M3844" s="390">
        <v>46139.870509259257</v>
      </c>
      <c r="N3844" s="366" t="s">
        <v>361</v>
      </c>
      <c r="O3844" s="367" t="s">
        <v>376</v>
      </c>
      <c r="P3844" s="368" t="str">
        <f t="shared" si="157"/>
        <v>Revenue</v>
      </c>
      <c r="Q3844" s="366" t="s">
        <v>2915</v>
      </c>
      <c r="R3844" s="366" t="s">
        <v>6147</v>
      </c>
      <c r="S3844" s="366">
        <v>755180</v>
      </c>
    </row>
    <row r="3845" spans="1:19" ht="15" collapsed="1">
      <c r="J3845" s="413">
        <f>SUM(J3836:J3844)</f>
        <v>49859611.970000006</v>
      </c>
    </row>
    <row r="3847" spans="1:19" ht="12.75" customHeight="1">
      <c r="A3847" s="378" t="s">
        <v>6148</v>
      </c>
    </row>
    <row r="3848" spans="1:19" ht="30" hidden="1" outlineLevel="1">
      <c r="B3848" s="384">
        <v>2026</v>
      </c>
      <c r="C3848" s="384">
        <v>10</v>
      </c>
      <c r="D3848" s="367" t="s">
        <v>5</v>
      </c>
      <c r="E3848" s="367" t="s">
        <v>6</v>
      </c>
      <c r="F3848" s="389" t="s">
        <v>6149</v>
      </c>
      <c r="G3848" s="385">
        <v>46142</v>
      </c>
      <c r="H3848" s="367" t="s">
        <v>14</v>
      </c>
      <c r="I3848" s="368" t="str">
        <f>VLOOKUP(H3848,'[4]Source Codes'!A$2:B$115,2,FALSE)</f>
        <v>AP Warrant Issuance</v>
      </c>
      <c r="J3848" s="412">
        <v>-3959376.04</v>
      </c>
      <c r="K3848" s="385">
        <v>46140</v>
      </c>
      <c r="L3848" s="369" t="s">
        <v>6162</v>
      </c>
      <c r="M3848" s="390">
        <v>46140.757557870369</v>
      </c>
      <c r="N3848" s="366" t="s">
        <v>356</v>
      </c>
      <c r="O3848" s="367" t="s">
        <v>368</v>
      </c>
      <c r="P3848" s="368" t="str">
        <f t="shared" ref="P3848:P3856" si="158">IF(J3848&gt;0,"Revenue",IF(J3848&lt;0,"Expense"))</f>
        <v>Expense</v>
      </c>
      <c r="Q3848" s="366" t="s">
        <v>5835</v>
      </c>
      <c r="R3848" s="366" t="s">
        <v>5835</v>
      </c>
      <c r="S3848" s="366" t="s">
        <v>203</v>
      </c>
    </row>
    <row r="3849" spans="1:19" ht="30" hidden="1" outlineLevel="1">
      <c r="B3849" s="384">
        <v>2026</v>
      </c>
      <c r="C3849" s="384">
        <v>10</v>
      </c>
      <c r="D3849" s="367" t="s">
        <v>5</v>
      </c>
      <c r="E3849" s="367" t="s">
        <v>6</v>
      </c>
      <c r="F3849" s="389" t="s">
        <v>6150</v>
      </c>
      <c r="G3849" s="385">
        <v>46140</v>
      </c>
      <c r="H3849" s="367" t="s">
        <v>14</v>
      </c>
      <c r="I3849" s="368" t="str">
        <f>VLOOKUP(H3849,'[4]Source Codes'!A$2:B$115,2,FALSE)</f>
        <v>AP Warrant Issuance</v>
      </c>
      <c r="J3849" s="412">
        <v>-1081500.1499999999</v>
      </c>
      <c r="K3849" s="385">
        <v>46140</v>
      </c>
      <c r="L3849" s="369" t="s">
        <v>6163</v>
      </c>
      <c r="M3849" s="390">
        <v>46140.757557870369</v>
      </c>
      <c r="N3849" s="366" t="s">
        <v>356</v>
      </c>
      <c r="O3849" s="367" t="s">
        <v>368</v>
      </c>
      <c r="P3849" s="368" t="str">
        <f t="shared" si="158"/>
        <v>Expense</v>
      </c>
      <c r="Q3849" s="366" t="s">
        <v>5835</v>
      </c>
      <c r="R3849" s="366" t="s">
        <v>5835</v>
      </c>
      <c r="S3849" s="366" t="s">
        <v>203</v>
      </c>
    </row>
    <row r="3850" spans="1:19" ht="45" hidden="1" outlineLevel="1">
      <c r="B3850" s="384">
        <v>2026</v>
      </c>
      <c r="C3850" s="384">
        <v>10</v>
      </c>
      <c r="D3850" s="367" t="s">
        <v>5</v>
      </c>
      <c r="E3850" s="367" t="s">
        <v>6</v>
      </c>
      <c r="F3850" s="389" t="s">
        <v>6151</v>
      </c>
      <c r="G3850" s="385">
        <v>46132</v>
      </c>
      <c r="H3850" s="367" t="s">
        <v>12</v>
      </c>
      <c r="I3850" s="368" t="str">
        <f>VLOOKUP(H3850,'[4]Source Codes'!A$2:B$115,2,FALSE)</f>
        <v>AR Direct Cash Journal</v>
      </c>
      <c r="J3850" s="412">
        <v>1000000</v>
      </c>
      <c r="K3850" s="385">
        <v>46140</v>
      </c>
      <c r="L3850" s="369" t="s">
        <v>6165</v>
      </c>
      <c r="M3850" s="390">
        <v>46140.752349537041</v>
      </c>
      <c r="N3850" s="366" t="s">
        <v>2185</v>
      </c>
      <c r="O3850" s="367" t="s">
        <v>368</v>
      </c>
      <c r="P3850" s="368" t="str">
        <f t="shared" si="158"/>
        <v>Revenue</v>
      </c>
      <c r="Q3850" s="366" t="s">
        <v>2177</v>
      </c>
      <c r="R3850" s="366" t="s">
        <v>6164</v>
      </c>
      <c r="S3850" s="366">
        <v>230129</v>
      </c>
    </row>
    <row r="3851" spans="1:19" ht="30" hidden="1" outlineLevel="1">
      <c r="B3851" s="384">
        <v>2026</v>
      </c>
      <c r="C3851" s="384">
        <v>10</v>
      </c>
      <c r="D3851" s="367" t="s">
        <v>5</v>
      </c>
      <c r="E3851" s="367" t="s">
        <v>6</v>
      </c>
      <c r="F3851" s="389" t="s">
        <v>6152</v>
      </c>
      <c r="G3851" s="385">
        <v>46135</v>
      </c>
      <c r="H3851" s="367" t="s">
        <v>12</v>
      </c>
      <c r="I3851" s="368" t="str">
        <f>VLOOKUP(H3851,'[4]Source Codes'!A$2:B$115,2,FALSE)</f>
        <v>AR Direct Cash Journal</v>
      </c>
      <c r="J3851" s="412">
        <v>1628553.68</v>
      </c>
      <c r="K3851" s="385">
        <v>46140</v>
      </c>
      <c r="L3851" s="369" t="s">
        <v>6166</v>
      </c>
      <c r="M3851" s="390">
        <v>46140.752349537041</v>
      </c>
      <c r="N3851" s="368" t="s">
        <v>361</v>
      </c>
      <c r="O3851" s="367" t="s">
        <v>2631</v>
      </c>
      <c r="P3851" s="368" t="str">
        <f t="shared" si="158"/>
        <v>Revenue</v>
      </c>
      <c r="Q3851" s="366" t="s">
        <v>2632</v>
      </c>
      <c r="R3851" s="366" t="s">
        <v>2632</v>
      </c>
      <c r="S3851" s="366">
        <v>112630</v>
      </c>
    </row>
    <row r="3852" spans="1:19" ht="30" hidden="1" outlineLevel="1">
      <c r="B3852" s="384">
        <v>2026</v>
      </c>
      <c r="C3852" s="384">
        <v>10</v>
      </c>
      <c r="D3852" s="367" t="s">
        <v>5</v>
      </c>
      <c r="E3852" s="367" t="s">
        <v>6</v>
      </c>
      <c r="F3852" s="389" t="s">
        <v>6153</v>
      </c>
      <c r="G3852" s="385">
        <v>46132</v>
      </c>
      <c r="H3852" s="367" t="s">
        <v>11</v>
      </c>
      <c r="I3852" s="368" t="str">
        <f>VLOOKUP(H3852,'[4]Source Codes'!A$2:B$115,2,FALSE)</f>
        <v>AR Payments</v>
      </c>
      <c r="J3852" s="412">
        <v>2042673.48</v>
      </c>
      <c r="K3852" s="385">
        <v>46140</v>
      </c>
      <c r="L3852" s="369" t="s">
        <v>2670</v>
      </c>
      <c r="M3852" s="390">
        <v>46140.752349537041</v>
      </c>
      <c r="N3852" s="366" t="s">
        <v>359</v>
      </c>
      <c r="O3852" s="367" t="s">
        <v>357</v>
      </c>
      <c r="P3852" s="368" t="str">
        <f t="shared" si="158"/>
        <v>Revenue</v>
      </c>
      <c r="Q3852" s="366" t="s">
        <v>2157</v>
      </c>
      <c r="R3852" s="366" t="s">
        <v>2157</v>
      </c>
      <c r="S3852" s="366">
        <v>118501</v>
      </c>
    </row>
    <row r="3853" spans="1:19" ht="30" hidden="1" outlineLevel="1">
      <c r="B3853" s="384">
        <v>2026</v>
      </c>
      <c r="C3853" s="384">
        <v>10</v>
      </c>
      <c r="D3853" s="367" t="s">
        <v>5</v>
      </c>
      <c r="E3853" s="367" t="s">
        <v>6</v>
      </c>
      <c r="F3853" s="389" t="s">
        <v>6154</v>
      </c>
      <c r="G3853" s="385">
        <v>46139</v>
      </c>
      <c r="H3853" s="367" t="s">
        <v>9</v>
      </c>
      <c r="I3853" s="368" t="str">
        <f>VLOOKUP(H3853,'[4]Source Codes'!A$2:B$115,2,FALSE)</f>
        <v>On Line Journal Entries</v>
      </c>
      <c r="J3853" s="412">
        <v>20671306.890000001</v>
      </c>
      <c r="K3853" s="385">
        <v>46140</v>
      </c>
      <c r="L3853" s="369" t="s">
        <v>6158</v>
      </c>
      <c r="M3853" s="390">
        <v>46140.574259259258</v>
      </c>
      <c r="N3853" s="366" t="s">
        <v>356</v>
      </c>
      <c r="O3853" s="367" t="s">
        <v>371</v>
      </c>
      <c r="P3853" s="368" t="str">
        <f t="shared" si="158"/>
        <v>Revenue</v>
      </c>
      <c r="Q3853" s="366" t="s">
        <v>2158</v>
      </c>
      <c r="R3853" s="366" t="s">
        <v>6167</v>
      </c>
      <c r="S3853" s="366">
        <v>755120</v>
      </c>
    </row>
    <row r="3854" spans="1:19" ht="45" hidden="1" outlineLevel="1">
      <c r="B3854" s="384">
        <v>2026</v>
      </c>
      <c r="C3854" s="384">
        <v>10</v>
      </c>
      <c r="D3854" s="367" t="s">
        <v>5</v>
      </c>
      <c r="E3854" s="367" t="s">
        <v>6</v>
      </c>
      <c r="F3854" s="389" t="s">
        <v>6155</v>
      </c>
      <c r="G3854" s="385">
        <v>46139</v>
      </c>
      <c r="H3854" s="367" t="s">
        <v>9</v>
      </c>
      <c r="I3854" s="368" t="str">
        <f>VLOOKUP(H3854,'[4]Source Codes'!A$2:B$115,2,FALSE)</f>
        <v>On Line Journal Entries</v>
      </c>
      <c r="J3854" s="412">
        <v>10080578.9</v>
      </c>
      <c r="K3854" s="385">
        <v>46140</v>
      </c>
      <c r="L3854" s="369" t="s">
        <v>6159</v>
      </c>
      <c r="M3854" s="390">
        <v>46140.582777777781</v>
      </c>
      <c r="N3854" s="366" t="s">
        <v>356</v>
      </c>
      <c r="O3854" s="367" t="s">
        <v>371</v>
      </c>
      <c r="P3854" s="368" t="str">
        <f t="shared" si="158"/>
        <v>Revenue</v>
      </c>
      <c r="Q3854" s="366" t="s">
        <v>2427</v>
      </c>
      <c r="R3854" s="366" t="s">
        <v>6168</v>
      </c>
      <c r="S3854" s="366" t="s">
        <v>2160</v>
      </c>
    </row>
    <row r="3855" spans="1:19" ht="60" hidden="1" outlineLevel="1">
      <c r="B3855" s="384">
        <v>2026</v>
      </c>
      <c r="C3855" s="384">
        <v>10</v>
      </c>
      <c r="D3855" s="367" t="s">
        <v>5</v>
      </c>
      <c r="E3855" s="367" t="s">
        <v>6</v>
      </c>
      <c r="F3855" s="389" t="s">
        <v>6156</v>
      </c>
      <c r="G3855" s="385">
        <v>46139</v>
      </c>
      <c r="H3855" s="367" t="s">
        <v>9</v>
      </c>
      <c r="I3855" s="368" t="str">
        <f>VLOOKUP(H3855,'[4]Source Codes'!A$2:B$115,2,FALSE)</f>
        <v>On Line Journal Entries</v>
      </c>
      <c r="J3855" s="412">
        <v>3348859.09</v>
      </c>
      <c r="K3855" s="385">
        <v>46140</v>
      </c>
      <c r="L3855" s="369" t="s">
        <v>6160</v>
      </c>
      <c r="M3855" s="390">
        <v>46140.575578703705</v>
      </c>
      <c r="N3855" s="366" t="s">
        <v>356</v>
      </c>
      <c r="O3855" s="367" t="s">
        <v>371</v>
      </c>
      <c r="P3855" s="368" t="str">
        <f t="shared" si="158"/>
        <v>Revenue</v>
      </c>
      <c r="Q3855" s="366" t="s">
        <v>3577</v>
      </c>
      <c r="R3855" s="366" t="s">
        <v>6169</v>
      </c>
      <c r="S3855" s="366">
        <v>750900</v>
      </c>
    </row>
    <row r="3856" spans="1:19" ht="15" hidden="1" outlineLevel="1">
      <c r="B3856" s="384">
        <v>2026</v>
      </c>
      <c r="C3856" s="384">
        <v>10</v>
      </c>
      <c r="D3856" s="367" t="s">
        <v>5</v>
      </c>
      <c r="E3856" s="367" t="s">
        <v>6</v>
      </c>
      <c r="F3856" s="389" t="s">
        <v>6157</v>
      </c>
      <c r="G3856" s="385">
        <v>46139</v>
      </c>
      <c r="H3856" s="367" t="s">
        <v>9</v>
      </c>
      <c r="I3856" s="368" t="str">
        <f>VLOOKUP(H3856,'[4]Source Codes'!A$2:B$115,2,FALSE)</f>
        <v>On Line Journal Entries</v>
      </c>
      <c r="J3856" s="412">
        <v>1428077.97</v>
      </c>
      <c r="K3856" s="385">
        <v>46140</v>
      </c>
      <c r="L3856" s="369" t="s">
        <v>6161</v>
      </c>
      <c r="M3856" s="390">
        <v>46140.588969907411</v>
      </c>
      <c r="N3856" s="366" t="s">
        <v>356</v>
      </c>
      <c r="O3856" s="367" t="s">
        <v>371</v>
      </c>
      <c r="P3856" s="368" t="str">
        <f t="shared" si="158"/>
        <v>Revenue</v>
      </c>
      <c r="Q3856" s="366" t="s">
        <v>2164</v>
      </c>
      <c r="R3856" s="394" t="s">
        <v>6170</v>
      </c>
      <c r="S3856" s="366">
        <v>755909</v>
      </c>
    </row>
    <row r="3857" spans="1:19" ht="15" collapsed="1">
      <c r="J3857" s="413">
        <f>SUM(J3848:J3856)</f>
        <v>35159173.819999993</v>
      </c>
    </row>
    <row r="3859" spans="1:19" ht="12.75" customHeight="1">
      <c r="A3859" s="378" t="s">
        <v>6171</v>
      </c>
    </row>
    <row r="3860" spans="1:19" ht="30" hidden="1" outlineLevel="1">
      <c r="B3860" s="384">
        <v>2026</v>
      </c>
      <c r="C3860" s="384">
        <v>11</v>
      </c>
      <c r="D3860" s="367" t="s">
        <v>5</v>
      </c>
      <c r="E3860" s="367" t="s">
        <v>6</v>
      </c>
      <c r="F3860" s="389" t="s">
        <v>6172</v>
      </c>
      <c r="G3860" s="385">
        <v>46143</v>
      </c>
      <c r="H3860" s="367" t="s">
        <v>14</v>
      </c>
      <c r="I3860" s="368" t="str">
        <f>VLOOKUP(H3860,'[4]Source Codes'!A$2:B$115,2,FALSE)</f>
        <v>AP Warrant Issuance</v>
      </c>
      <c r="J3860" s="412">
        <v>-1801913.36</v>
      </c>
      <c r="K3860" s="385">
        <v>46141</v>
      </c>
      <c r="L3860" s="369" t="s">
        <v>6178</v>
      </c>
      <c r="M3860" s="390">
        <v>46141.757060185184</v>
      </c>
      <c r="N3860" s="366" t="s">
        <v>356</v>
      </c>
      <c r="O3860" s="367" t="s">
        <v>368</v>
      </c>
      <c r="P3860" s="368" t="str">
        <f t="shared" ref="P3860:P3864" si="159">IF(J3860&gt;0,"Revenue",IF(J3860&lt;0,"Expense"))</f>
        <v>Expense</v>
      </c>
      <c r="Q3860" s="366" t="s">
        <v>5835</v>
      </c>
      <c r="R3860" s="366" t="s">
        <v>5835</v>
      </c>
      <c r="S3860" s="366" t="s">
        <v>203</v>
      </c>
    </row>
    <row r="3861" spans="1:19" ht="45" hidden="1" outlineLevel="1">
      <c r="B3861" s="384">
        <v>2026</v>
      </c>
      <c r="C3861" s="384">
        <v>10</v>
      </c>
      <c r="D3861" s="367" t="s">
        <v>5</v>
      </c>
      <c r="E3861" s="367" t="s">
        <v>6</v>
      </c>
      <c r="F3861" s="389" t="s">
        <v>6173</v>
      </c>
      <c r="G3861" s="385">
        <v>46120</v>
      </c>
      <c r="H3861" s="367" t="s">
        <v>12</v>
      </c>
      <c r="I3861" s="368" t="str">
        <f>VLOOKUP(H3861,'[4]Source Codes'!A$2:B$115,2,FALSE)</f>
        <v>AR Direct Cash Journal</v>
      </c>
      <c r="J3861" s="412">
        <v>18445575.75</v>
      </c>
      <c r="K3861" s="385">
        <v>46141</v>
      </c>
      <c r="L3861" s="369" t="s">
        <v>6180</v>
      </c>
      <c r="M3861" s="390">
        <v>46141.752280092594</v>
      </c>
      <c r="N3861" s="366" t="s">
        <v>356</v>
      </c>
      <c r="O3861" s="367" t="s">
        <v>368</v>
      </c>
      <c r="P3861" s="368" t="str">
        <f t="shared" si="159"/>
        <v>Revenue</v>
      </c>
      <c r="Q3861" s="366" t="s">
        <v>2177</v>
      </c>
      <c r="R3861" s="366" t="s">
        <v>2214</v>
      </c>
      <c r="S3861" s="366" t="s">
        <v>6179</v>
      </c>
    </row>
    <row r="3862" spans="1:19" ht="60" hidden="1" outlineLevel="1">
      <c r="B3862" s="384">
        <v>2026</v>
      </c>
      <c r="C3862" s="384">
        <v>10</v>
      </c>
      <c r="D3862" s="367" t="s">
        <v>5</v>
      </c>
      <c r="E3862" s="367" t="s">
        <v>6</v>
      </c>
      <c r="F3862" s="389" t="s">
        <v>6174</v>
      </c>
      <c r="G3862" s="385">
        <v>46141</v>
      </c>
      <c r="H3862" s="367" t="s">
        <v>11</v>
      </c>
      <c r="I3862" s="368" t="str">
        <f>VLOOKUP(H3862,'[4]Source Codes'!A$2:B$115,2,FALSE)</f>
        <v>AR Payments</v>
      </c>
      <c r="J3862" s="412">
        <v>2294034.5099999998</v>
      </c>
      <c r="K3862" s="385">
        <v>46141</v>
      </c>
      <c r="L3862" s="369" t="s">
        <v>6181</v>
      </c>
      <c r="M3862" s="390">
        <v>46141.752280092594</v>
      </c>
      <c r="N3862" s="366" t="s">
        <v>359</v>
      </c>
      <c r="O3862" s="367" t="s">
        <v>357</v>
      </c>
      <c r="P3862" s="368" t="str">
        <f t="shared" si="159"/>
        <v>Revenue</v>
      </c>
      <c r="Q3862" s="366" t="s">
        <v>2157</v>
      </c>
      <c r="R3862" s="394" t="s">
        <v>2157</v>
      </c>
      <c r="S3862" s="366" t="s">
        <v>2531</v>
      </c>
    </row>
    <row r="3863" spans="1:19" ht="45" hidden="1" outlineLevel="1">
      <c r="B3863" s="384">
        <v>2026</v>
      </c>
      <c r="C3863" s="384">
        <v>10</v>
      </c>
      <c r="D3863" s="367" t="s">
        <v>5</v>
      </c>
      <c r="E3863" s="367" t="s">
        <v>6</v>
      </c>
      <c r="F3863" s="389" t="s">
        <v>6175</v>
      </c>
      <c r="G3863" s="385">
        <v>46140</v>
      </c>
      <c r="H3863" s="367" t="s">
        <v>9</v>
      </c>
      <c r="I3863" s="368" t="str">
        <f>VLOOKUP(H3863,'[4]Source Codes'!A$2:B$115,2,FALSE)</f>
        <v>On Line Journal Entries</v>
      </c>
      <c r="J3863" s="412">
        <v>6090204</v>
      </c>
      <c r="K3863" s="385">
        <v>46141</v>
      </c>
      <c r="L3863" s="369" t="s">
        <v>352</v>
      </c>
      <c r="M3863" s="390">
        <v>46141.870428240742</v>
      </c>
      <c r="N3863" s="366" t="s">
        <v>359</v>
      </c>
      <c r="O3863" s="367" t="s">
        <v>364</v>
      </c>
      <c r="P3863" s="368" t="str">
        <f t="shared" si="159"/>
        <v>Revenue</v>
      </c>
      <c r="Q3863" s="366" t="s">
        <v>2232</v>
      </c>
      <c r="R3863" s="366" t="s">
        <v>2232</v>
      </c>
      <c r="S3863" s="366" t="s">
        <v>2789</v>
      </c>
    </row>
    <row r="3864" spans="1:19" ht="45" hidden="1" outlineLevel="1">
      <c r="B3864" s="384">
        <v>2026</v>
      </c>
      <c r="C3864" s="384">
        <v>10</v>
      </c>
      <c r="D3864" s="367" t="s">
        <v>5</v>
      </c>
      <c r="E3864" s="367" t="s">
        <v>6</v>
      </c>
      <c r="F3864" s="389" t="s">
        <v>6176</v>
      </c>
      <c r="G3864" s="385">
        <v>46113</v>
      </c>
      <c r="H3864" s="367" t="s">
        <v>9</v>
      </c>
      <c r="I3864" s="368" t="str">
        <f>VLOOKUP(H3864,'[4]Source Codes'!A$2:B$115,2,FALSE)</f>
        <v>On Line Journal Entries</v>
      </c>
      <c r="J3864" s="412">
        <v>1993925</v>
      </c>
      <c r="K3864" s="385">
        <v>46141</v>
      </c>
      <c r="L3864" s="369" t="s">
        <v>6177</v>
      </c>
      <c r="M3864" s="390">
        <v>46141.870428240742</v>
      </c>
      <c r="N3864" s="366" t="s">
        <v>377</v>
      </c>
      <c r="O3864" s="367" t="s">
        <v>373</v>
      </c>
      <c r="P3864" s="368" t="str">
        <f t="shared" si="159"/>
        <v>Revenue</v>
      </c>
      <c r="Q3864" s="366" t="s">
        <v>4294</v>
      </c>
      <c r="R3864" s="366" t="s">
        <v>6182</v>
      </c>
      <c r="S3864" s="366" t="s">
        <v>4296</v>
      </c>
    </row>
    <row r="3865" spans="1:19" ht="15" collapsed="1">
      <c r="J3865" s="413">
        <f>SUM(J3860:J3864)</f>
        <v>27021825.899999999</v>
      </c>
    </row>
    <row r="3867" spans="1:19" ht="12.75" customHeight="1">
      <c r="A3867" s="378" t="s">
        <v>6183</v>
      </c>
    </row>
    <row r="3868" spans="1:19" ht="60" hidden="1" outlineLevel="1">
      <c r="B3868" s="384">
        <v>2026</v>
      </c>
      <c r="C3868" s="384">
        <v>10</v>
      </c>
      <c r="D3868" s="367" t="s">
        <v>5</v>
      </c>
      <c r="E3868" s="367" t="s">
        <v>6</v>
      </c>
      <c r="F3868" s="389" t="s">
        <v>6184</v>
      </c>
      <c r="G3868" s="385">
        <v>46142</v>
      </c>
      <c r="H3868" s="367" t="s">
        <v>14</v>
      </c>
      <c r="I3868" s="368" t="str">
        <f>VLOOKUP(H3868,'[4]Source Codes'!A$2:B$115,2,FALSE)</f>
        <v>AP Warrant Issuance</v>
      </c>
      <c r="J3868" s="412">
        <v>-4147956.87</v>
      </c>
      <c r="K3868" s="385">
        <v>46142</v>
      </c>
      <c r="L3868" s="369" t="s">
        <v>6187</v>
      </c>
      <c r="M3868" s="390">
        <v>46142.763090277775</v>
      </c>
      <c r="N3868" s="368" t="s">
        <v>361</v>
      </c>
      <c r="O3868" s="368" t="s">
        <v>363</v>
      </c>
      <c r="P3868" s="368" t="str">
        <f t="shared" ref="P3868:P3870" si="160">IF(J3868&gt;0,"Revenue",IF(J3868&lt;0,"Expense"))</f>
        <v>Expense</v>
      </c>
      <c r="Q3868" s="366" t="s">
        <v>2446</v>
      </c>
      <c r="R3868" s="365" t="s">
        <v>6188</v>
      </c>
      <c r="S3868" s="366">
        <v>208100</v>
      </c>
    </row>
    <row r="3869" spans="1:19" ht="60" hidden="1" outlineLevel="1">
      <c r="B3869" s="384">
        <v>2026</v>
      </c>
      <c r="C3869" s="384">
        <v>10</v>
      </c>
      <c r="D3869" s="367" t="s">
        <v>5</v>
      </c>
      <c r="E3869" s="367" t="s">
        <v>6</v>
      </c>
      <c r="F3869" s="389" t="s">
        <v>6185</v>
      </c>
      <c r="G3869" s="385">
        <v>46142</v>
      </c>
      <c r="H3869" s="367" t="s">
        <v>11</v>
      </c>
      <c r="I3869" s="368" t="str">
        <f>VLOOKUP(H3869,'[4]Source Codes'!A$2:B$115,2,FALSE)</f>
        <v>AR Payments</v>
      </c>
      <c r="J3869" s="412">
        <v>4782636.55</v>
      </c>
      <c r="K3869" s="385">
        <v>46142</v>
      </c>
      <c r="L3869" s="369" t="s">
        <v>6189</v>
      </c>
      <c r="M3869" s="390">
        <v>46142.752476851849</v>
      </c>
      <c r="N3869" s="366" t="s">
        <v>359</v>
      </c>
      <c r="O3869" s="367" t="s">
        <v>357</v>
      </c>
      <c r="P3869" s="368" t="str">
        <f t="shared" si="160"/>
        <v>Revenue</v>
      </c>
      <c r="Q3869" s="366" t="s">
        <v>2157</v>
      </c>
      <c r="R3869" s="366" t="s">
        <v>2157</v>
      </c>
      <c r="S3869" s="366" t="s">
        <v>3159</v>
      </c>
    </row>
    <row r="3870" spans="1:19" ht="30" hidden="1" outlineLevel="1">
      <c r="B3870" s="384">
        <v>2026</v>
      </c>
      <c r="C3870" s="384">
        <v>10</v>
      </c>
      <c r="D3870" s="367" t="s">
        <v>5</v>
      </c>
      <c r="E3870" s="367" t="s">
        <v>6</v>
      </c>
      <c r="F3870" s="389" t="s">
        <v>6186</v>
      </c>
      <c r="G3870" s="385">
        <v>46140</v>
      </c>
      <c r="H3870" s="367" t="s">
        <v>9</v>
      </c>
      <c r="I3870" s="368" t="str">
        <f>VLOOKUP(H3870,'[4]Source Codes'!A$2:B$115,2,FALSE)</f>
        <v>On Line Journal Entries</v>
      </c>
      <c r="J3870" s="412">
        <v>5005659</v>
      </c>
      <c r="K3870" s="385">
        <v>46142</v>
      </c>
      <c r="L3870" s="369" t="s">
        <v>334</v>
      </c>
      <c r="M3870" s="390">
        <v>46142.869814814818</v>
      </c>
      <c r="N3870" s="366" t="s">
        <v>356</v>
      </c>
      <c r="O3870" s="367" t="s">
        <v>364</v>
      </c>
      <c r="P3870" s="368" t="str">
        <f t="shared" si="160"/>
        <v>Revenue</v>
      </c>
      <c r="Q3870" s="366" t="s">
        <v>2232</v>
      </c>
      <c r="R3870" s="366" t="s">
        <v>2232</v>
      </c>
      <c r="S3870" s="366">
        <v>750741</v>
      </c>
    </row>
    <row r="3871" spans="1:19" ht="12.75" customHeight="1" collapsed="1">
      <c r="J3871" s="413">
        <f>SUM(J3868:J3870)</f>
        <v>5640338.6799999997</v>
      </c>
    </row>
    <row r="3873" spans="1:19" ht="12.75" customHeight="1">
      <c r="A3873" s="378" t="s">
        <v>6190</v>
      </c>
    </row>
    <row r="3874" spans="1:19" ht="30" hidden="1" outlineLevel="1">
      <c r="B3874" s="384">
        <v>2026</v>
      </c>
      <c r="C3874" s="384">
        <v>11</v>
      </c>
      <c r="D3874" s="367" t="s">
        <v>5</v>
      </c>
      <c r="E3874" s="367" t="s">
        <v>6</v>
      </c>
      <c r="F3874" s="389" t="s">
        <v>6191</v>
      </c>
      <c r="G3874" s="385">
        <v>46143</v>
      </c>
      <c r="H3874" s="367" t="s">
        <v>14</v>
      </c>
      <c r="I3874" s="368" t="str">
        <f>VLOOKUP(H3874,'[4]Source Codes'!A$2:B$115,2,FALSE)</f>
        <v>AP Warrant Issuance</v>
      </c>
      <c r="J3874" s="412">
        <v>-1592144.87</v>
      </c>
      <c r="K3874" s="385">
        <v>46143</v>
      </c>
      <c r="L3874" s="369" t="s">
        <v>6195</v>
      </c>
      <c r="M3874" s="390">
        <v>46143.757060185184</v>
      </c>
      <c r="N3874" s="366" t="s">
        <v>356</v>
      </c>
      <c r="O3874" s="367" t="s">
        <v>368</v>
      </c>
      <c r="P3874" s="368" t="str">
        <f t="shared" ref="P3874:P3877" si="161">IF(J3874&gt;0,"Revenue",IF(J3874&lt;0,"Expense"))</f>
        <v>Expense</v>
      </c>
      <c r="Q3874" s="366" t="s">
        <v>5835</v>
      </c>
      <c r="R3874" s="366" t="s">
        <v>5835</v>
      </c>
      <c r="S3874" s="366" t="s">
        <v>203</v>
      </c>
    </row>
    <row r="3875" spans="1:19" ht="30" hidden="1" outlineLevel="1">
      <c r="B3875" s="384">
        <v>2026</v>
      </c>
      <c r="C3875" s="384">
        <v>11</v>
      </c>
      <c r="D3875" s="367" t="s">
        <v>5</v>
      </c>
      <c r="E3875" s="367" t="s">
        <v>6</v>
      </c>
      <c r="F3875" s="389" t="s">
        <v>6192</v>
      </c>
      <c r="G3875" s="385">
        <v>46147</v>
      </c>
      <c r="H3875" s="367" t="s">
        <v>14</v>
      </c>
      <c r="I3875" s="368" t="str">
        <f>VLOOKUP(H3875,'[4]Source Codes'!A$2:B$115,2,FALSE)</f>
        <v>AP Warrant Issuance</v>
      </c>
      <c r="J3875" s="412">
        <v>-1547425.2</v>
      </c>
      <c r="K3875" s="385">
        <v>46143</v>
      </c>
      <c r="L3875" s="369" t="s">
        <v>6196</v>
      </c>
      <c r="M3875" s="390">
        <v>46143.757060185184</v>
      </c>
      <c r="N3875" s="366" t="s">
        <v>356</v>
      </c>
      <c r="O3875" s="367" t="s">
        <v>368</v>
      </c>
      <c r="P3875" s="368" t="str">
        <f t="shared" si="161"/>
        <v>Expense</v>
      </c>
      <c r="Q3875" s="366" t="s">
        <v>5835</v>
      </c>
      <c r="R3875" s="366" t="s">
        <v>5835</v>
      </c>
      <c r="S3875" s="366" t="s">
        <v>203</v>
      </c>
    </row>
    <row r="3876" spans="1:19" ht="30" hidden="1" outlineLevel="1">
      <c r="B3876" s="384">
        <v>2026</v>
      </c>
      <c r="C3876" s="384">
        <v>11</v>
      </c>
      <c r="D3876" s="367" t="s">
        <v>5</v>
      </c>
      <c r="E3876" s="367" t="s">
        <v>6</v>
      </c>
      <c r="F3876" s="389" t="s">
        <v>6193</v>
      </c>
      <c r="G3876" s="385">
        <v>46143</v>
      </c>
      <c r="H3876" s="367" t="s">
        <v>14</v>
      </c>
      <c r="I3876" s="368" t="str">
        <f>VLOOKUP(H3876,'[4]Source Codes'!A$2:B$115,2,FALSE)</f>
        <v>AP Warrant Issuance</v>
      </c>
      <c r="J3876" s="412">
        <v>-1448731.35</v>
      </c>
      <c r="K3876" s="385">
        <v>46143</v>
      </c>
      <c r="L3876" s="369" t="s">
        <v>6197</v>
      </c>
      <c r="M3876" s="390">
        <v>46143.757060185184</v>
      </c>
      <c r="N3876" s="366" t="s">
        <v>356</v>
      </c>
      <c r="O3876" s="367" t="s">
        <v>357</v>
      </c>
      <c r="P3876" s="368" t="str">
        <f t="shared" si="161"/>
        <v>Expense</v>
      </c>
      <c r="Q3876" s="366" t="s">
        <v>2309</v>
      </c>
      <c r="R3876" s="366" t="s">
        <v>2310</v>
      </c>
      <c r="S3876" s="366" t="s">
        <v>203</v>
      </c>
    </row>
    <row r="3877" spans="1:19" ht="60" hidden="1" outlineLevel="1">
      <c r="B3877" s="384">
        <v>2026</v>
      </c>
      <c r="C3877" s="384">
        <v>11</v>
      </c>
      <c r="D3877" s="367" t="s">
        <v>5</v>
      </c>
      <c r="E3877" s="367" t="s">
        <v>6</v>
      </c>
      <c r="F3877" s="389" t="s">
        <v>6194</v>
      </c>
      <c r="G3877" s="385">
        <v>46143</v>
      </c>
      <c r="H3877" s="367" t="s">
        <v>11</v>
      </c>
      <c r="I3877" s="368" t="str">
        <f>VLOOKUP(H3877,'[4]Source Codes'!A$2:B$115,2,FALSE)</f>
        <v>AR Payments</v>
      </c>
      <c r="J3877" s="412">
        <v>2595824.83</v>
      </c>
      <c r="K3877" s="385">
        <v>46143</v>
      </c>
      <c r="L3877" s="369" t="s">
        <v>6198</v>
      </c>
      <c r="M3877" s="390">
        <v>46143.751840277779</v>
      </c>
      <c r="N3877" s="366" t="s">
        <v>359</v>
      </c>
      <c r="O3877" s="367" t="s">
        <v>357</v>
      </c>
      <c r="P3877" s="368" t="str">
        <f t="shared" si="161"/>
        <v>Revenue</v>
      </c>
      <c r="Q3877" s="366" t="s">
        <v>2157</v>
      </c>
      <c r="R3877" s="366" t="s">
        <v>2157</v>
      </c>
      <c r="S3877" s="366" t="s">
        <v>2231</v>
      </c>
    </row>
    <row r="3878" spans="1:19" ht="12.75" customHeight="1" collapsed="1">
      <c r="J3878" s="413">
        <f>SUM(J3874:J3877)</f>
        <v>-1992476.5899999999</v>
      </c>
    </row>
    <row r="3880" spans="1:19" ht="12.75" customHeight="1">
      <c r="A3880" s="378" t="s">
        <v>6199</v>
      </c>
    </row>
    <row r="3881" spans="1:19" ht="30" hidden="1" outlineLevel="1">
      <c r="B3881" s="384">
        <v>2026</v>
      </c>
      <c r="C3881" s="384">
        <v>11</v>
      </c>
      <c r="D3881" s="367" t="s">
        <v>5</v>
      </c>
      <c r="E3881" s="367" t="s">
        <v>6</v>
      </c>
      <c r="F3881" s="389" t="s">
        <v>6200</v>
      </c>
      <c r="G3881" s="385">
        <v>46146</v>
      </c>
      <c r="H3881" s="367" t="s">
        <v>11</v>
      </c>
      <c r="I3881" s="368" t="str">
        <f>VLOOKUP(H3881,'[4]Source Codes'!A$2:B$115,2,FALSE)</f>
        <v>AR Payments</v>
      </c>
      <c r="J3881" s="412">
        <v>1450471.5</v>
      </c>
      <c r="K3881" s="385">
        <v>46146</v>
      </c>
      <c r="L3881" s="369" t="s">
        <v>2187</v>
      </c>
      <c r="M3881" s="390">
        <v>46146.752303240741</v>
      </c>
      <c r="N3881" s="366" t="s">
        <v>359</v>
      </c>
      <c r="O3881" s="367" t="s">
        <v>357</v>
      </c>
      <c r="P3881" s="368" t="str">
        <f t="shared" ref="P3881:P3886" si="162">IF(J3881&gt;0,"Revenue",IF(J3881&lt;0,"Expense"))</f>
        <v>Revenue</v>
      </c>
      <c r="Q3881" s="366" t="s">
        <v>2157</v>
      </c>
      <c r="R3881" s="366" t="s">
        <v>2157</v>
      </c>
      <c r="S3881" s="366">
        <v>118501</v>
      </c>
    </row>
    <row r="3882" spans="1:19" ht="45" hidden="1" outlineLevel="1">
      <c r="B3882" s="384">
        <v>2026</v>
      </c>
      <c r="C3882" s="384">
        <v>10</v>
      </c>
      <c r="D3882" s="367" t="s">
        <v>5</v>
      </c>
      <c r="E3882" s="367" t="s">
        <v>6</v>
      </c>
      <c r="F3882" s="389" t="s">
        <v>6201</v>
      </c>
      <c r="G3882" s="385">
        <v>46140</v>
      </c>
      <c r="H3882" s="367" t="s">
        <v>9</v>
      </c>
      <c r="I3882" s="368" t="str">
        <f>VLOOKUP(H3882,'[4]Source Codes'!A$2:B$115,2,FALSE)</f>
        <v>On Line Journal Entries</v>
      </c>
      <c r="J3882" s="412">
        <v>2039668</v>
      </c>
      <c r="K3882" s="385">
        <v>46146</v>
      </c>
      <c r="L3882" s="369" t="s">
        <v>6206</v>
      </c>
      <c r="M3882" s="390">
        <v>46146.56453703704</v>
      </c>
      <c r="N3882" s="366" t="s">
        <v>361</v>
      </c>
      <c r="O3882" s="367" t="s">
        <v>357</v>
      </c>
      <c r="P3882" s="368" t="str">
        <f t="shared" si="162"/>
        <v>Revenue</v>
      </c>
      <c r="Q3882" s="366" t="s">
        <v>2671</v>
      </c>
      <c r="R3882" s="366" t="s">
        <v>6208</v>
      </c>
      <c r="S3882" s="366">
        <v>118400</v>
      </c>
    </row>
    <row r="3883" spans="1:19" ht="30" hidden="1" outlineLevel="1">
      <c r="B3883" s="384">
        <v>2026</v>
      </c>
      <c r="C3883" s="384">
        <v>10</v>
      </c>
      <c r="D3883" s="367" t="s">
        <v>5</v>
      </c>
      <c r="E3883" s="367" t="s">
        <v>6</v>
      </c>
      <c r="F3883" s="389" t="s">
        <v>6202</v>
      </c>
      <c r="G3883" s="385">
        <v>46140</v>
      </c>
      <c r="H3883" s="367" t="s">
        <v>351</v>
      </c>
      <c r="I3883" s="368" t="str">
        <f>VLOOKUP(H3883,'[4]Source Codes'!A$2:B$115,2,FALSE)</f>
        <v>Treasurer Tax Collector</v>
      </c>
      <c r="J3883" s="412">
        <v>1738648.94</v>
      </c>
      <c r="K3883" s="385">
        <v>46146</v>
      </c>
      <c r="L3883" s="369" t="s">
        <v>6207</v>
      </c>
      <c r="M3883" s="390">
        <v>46146.644016203703</v>
      </c>
      <c r="N3883" s="366" t="s">
        <v>372</v>
      </c>
      <c r="O3883" s="367" t="s">
        <v>380</v>
      </c>
      <c r="P3883" s="368" t="str">
        <f t="shared" si="162"/>
        <v>Revenue</v>
      </c>
      <c r="Q3883" s="366" t="s">
        <v>2688</v>
      </c>
      <c r="R3883" s="366" t="s">
        <v>6209</v>
      </c>
      <c r="S3883" s="366" t="s">
        <v>4277</v>
      </c>
    </row>
    <row r="3884" spans="1:19" ht="15" hidden="1" outlineLevel="1">
      <c r="B3884" s="384">
        <v>2026</v>
      </c>
      <c r="C3884" s="384">
        <v>10</v>
      </c>
      <c r="D3884" s="367" t="s">
        <v>5</v>
      </c>
      <c r="E3884" s="367" t="s">
        <v>6</v>
      </c>
      <c r="F3884" s="389" t="s">
        <v>6203</v>
      </c>
      <c r="G3884" s="385">
        <v>46141</v>
      </c>
      <c r="H3884" s="367" t="s">
        <v>7</v>
      </c>
      <c r="I3884" s="368" t="str">
        <f>VLOOKUP(H3884,'[4]Source Codes'!A$2:B$115,2,FALSE)</f>
        <v>HRMS Interface Journals</v>
      </c>
      <c r="J3884" s="412">
        <v>-2731528.96</v>
      </c>
      <c r="K3884" s="385">
        <v>46146</v>
      </c>
      <c r="L3884" s="369" t="s">
        <v>409</v>
      </c>
      <c r="M3884" s="390">
        <v>46146.320196759261</v>
      </c>
      <c r="N3884" s="366" t="s">
        <v>378</v>
      </c>
      <c r="O3884" s="367" t="s">
        <v>379</v>
      </c>
      <c r="P3884" s="368" t="str">
        <f t="shared" si="162"/>
        <v>Expense</v>
      </c>
      <c r="Q3884" s="366" t="s">
        <v>379</v>
      </c>
      <c r="R3884" s="366" t="s">
        <v>6210</v>
      </c>
      <c r="S3884" s="366">
        <v>513120</v>
      </c>
    </row>
    <row r="3885" spans="1:19" ht="15" hidden="1" outlineLevel="1">
      <c r="B3885" s="384">
        <v>2026</v>
      </c>
      <c r="C3885" s="384">
        <v>10</v>
      </c>
      <c r="D3885" s="367" t="s">
        <v>5</v>
      </c>
      <c r="E3885" s="367" t="s">
        <v>6</v>
      </c>
      <c r="F3885" s="389" t="s">
        <v>6204</v>
      </c>
      <c r="G3885" s="385">
        <v>46141</v>
      </c>
      <c r="H3885" s="367" t="s">
        <v>7</v>
      </c>
      <c r="I3885" s="368" t="str">
        <f>VLOOKUP(H3885,'[4]Source Codes'!A$2:B$115,2,FALSE)</f>
        <v>HRMS Interface Journals</v>
      </c>
      <c r="J3885" s="412">
        <v>-13648908.970000001</v>
      </c>
      <c r="K3885" s="385">
        <v>46146</v>
      </c>
      <c r="L3885" s="369" t="s">
        <v>407</v>
      </c>
      <c r="M3885" s="390">
        <v>46146.316504629627</v>
      </c>
      <c r="N3885" s="366" t="s">
        <v>378</v>
      </c>
      <c r="O3885" s="367" t="s">
        <v>379</v>
      </c>
      <c r="P3885" s="368" t="str">
        <f t="shared" si="162"/>
        <v>Expense</v>
      </c>
      <c r="Q3885" s="366" t="s">
        <v>379</v>
      </c>
      <c r="R3885" s="366" t="s">
        <v>6210</v>
      </c>
      <c r="S3885" s="366" t="s">
        <v>203</v>
      </c>
    </row>
    <row r="3886" spans="1:19" ht="15" hidden="1" outlineLevel="1">
      <c r="B3886" s="384">
        <v>2026</v>
      </c>
      <c r="C3886" s="384">
        <v>10</v>
      </c>
      <c r="D3886" s="367" t="s">
        <v>5</v>
      </c>
      <c r="E3886" s="367" t="s">
        <v>6</v>
      </c>
      <c r="F3886" s="389" t="s">
        <v>6205</v>
      </c>
      <c r="G3886" s="385">
        <v>46141</v>
      </c>
      <c r="H3886" s="367" t="s">
        <v>7</v>
      </c>
      <c r="I3886" s="368" t="str">
        <f>VLOOKUP(H3886,'[4]Source Codes'!A$2:B$115,2,FALSE)</f>
        <v>HRMS Interface Journals</v>
      </c>
      <c r="J3886" s="412">
        <v>-67732466.859999999</v>
      </c>
      <c r="K3886" s="385">
        <v>46146</v>
      </c>
      <c r="L3886" s="369" t="s">
        <v>406</v>
      </c>
      <c r="M3886" s="390">
        <v>46146.319108796299</v>
      </c>
      <c r="N3886" s="366" t="s">
        <v>378</v>
      </c>
      <c r="O3886" s="367" t="s">
        <v>371</v>
      </c>
      <c r="P3886" s="368" t="str">
        <f t="shared" si="162"/>
        <v>Expense</v>
      </c>
      <c r="Q3886" s="366" t="s">
        <v>379</v>
      </c>
      <c r="R3886" s="366" t="s">
        <v>6210</v>
      </c>
      <c r="S3886" s="366" t="s">
        <v>203</v>
      </c>
    </row>
    <row r="3887" spans="1:19" ht="15" collapsed="1">
      <c r="J3887" s="413">
        <f>SUM(J3881:J3886)</f>
        <v>-78884116.349999994</v>
      </c>
    </row>
    <row r="3889" spans="1:19" ht="12.75" customHeight="1">
      <c r="A3889" s="378" t="s">
        <v>6211</v>
      </c>
    </row>
    <row r="3890" spans="1:19" ht="15" hidden="1" outlineLevel="1">
      <c r="B3890" s="384">
        <v>2026</v>
      </c>
      <c r="C3890" s="384">
        <v>10</v>
      </c>
      <c r="D3890" s="367" t="s">
        <v>5</v>
      </c>
      <c r="E3890" s="367" t="s">
        <v>6</v>
      </c>
      <c r="F3890" s="389" t="s">
        <v>6212</v>
      </c>
      <c r="G3890" s="385">
        <v>46140</v>
      </c>
      <c r="H3890" s="367" t="s">
        <v>9</v>
      </c>
      <c r="I3890" s="368" t="str">
        <f>VLOOKUP(H3890,'[4]Source Codes'!A$2:B$115,2,FALSE)</f>
        <v>On Line Journal Entries</v>
      </c>
      <c r="J3890" s="412">
        <v>4058125.67</v>
      </c>
      <c r="K3890" s="385">
        <v>46147</v>
      </c>
      <c r="L3890" s="369" t="s">
        <v>6213</v>
      </c>
      <c r="M3890" s="390">
        <v>46147.615960648145</v>
      </c>
      <c r="N3890" s="366" t="s">
        <v>361</v>
      </c>
      <c r="O3890" s="367" t="s">
        <v>376</v>
      </c>
      <c r="P3890" s="368" t="str">
        <f t="shared" ref="P3890" si="163">IF(J3890&gt;0,"Revenue",IF(J3890&lt;0,"Expense"))</f>
        <v>Revenue</v>
      </c>
      <c r="Q3890" s="366" t="s">
        <v>2657</v>
      </c>
      <c r="R3890" s="366" t="s">
        <v>6208</v>
      </c>
      <c r="S3890" s="366">
        <v>755928</v>
      </c>
    </row>
    <row r="3891" spans="1:19" ht="15" collapsed="1">
      <c r="J3891" s="413">
        <f>SUM(J3890)</f>
        <v>4058125.67</v>
      </c>
    </row>
    <row r="3893" spans="1:19" ht="12.75" customHeight="1">
      <c r="A3893" s="378" t="s">
        <v>6214</v>
      </c>
    </row>
    <row r="3894" spans="1:19" ht="12.75" hidden="1" customHeight="1" outlineLevel="1">
      <c r="B3894" s="384">
        <v>2026</v>
      </c>
      <c r="C3894" s="384">
        <v>10</v>
      </c>
      <c r="D3894" s="367" t="s">
        <v>5</v>
      </c>
      <c r="E3894" s="367" t="s">
        <v>6</v>
      </c>
      <c r="F3894" s="389" t="s">
        <v>6216</v>
      </c>
      <c r="G3894" s="385">
        <v>46142</v>
      </c>
      <c r="H3894" s="367" t="s">
        <v>9</v>
      </c>
      <c r="I3894" s="368" t="str">
        <f>VLOOKUP(H3894,'[4]Source Codes'!A$2:B$115,2,FALSE)</f>
        <v>On Line Journal Entries</v>
      </c>
      <c r="J3894" s="412">
        <v>-4058125.67</v>
      </c>
      <c r="K3894" s="385">
        <v>46148</v>
      </c>
      <c r="L3894" s="369" t="s">
        <v>6215</v>
      </c>
      <c r="M3894" s="390">
        <v>46148.427048611113</v>
      </c>
      <c r="N3894" s="366" t="s">
        <v>361</v>
      </c>
      <c r="O3894" s="367" t="s">
        <v>376</v>
      </c>
      <c r="P3894" s="368" t="str">
        <f t="shared" ref="P3894" si="164">IF(J3894&gt;0,"Revenue",IF(J3894&lt;0,"Expense"))</f>
        <v>Expense</v>
      </c>
      <c r="Q3894" s="366" t="s">
        <v>2657</v>
      </c>
      <c r="R3894" s="366" t="s">
        <v>6208</v>
      </c>
      <c r="S3894" s="366">
        <v>755928</v>
      </c>
    </row>
    <row r="3895" spans="1:19" ht="12.75" customHeight="1" collapsed="1">
      <c r="J3895" s="413">
        <f>SUM(J3894)</f>
        <v>-4058125.67</v>
      </c>
    </row>
    <row r="3897" spans="1:19" ht="12.75" customHeight="1">
      <c r="A3897" s="378" t="s">
        <v>6217</v>
      </c>
    </row>
    <row r="3898" spans="1:19" ht="30" hidden="1" outlineLevel="1">
      <c r="B3898" s="384">
        <v>2026</v>
      </c>
      <c r="C3898" s="384">
        <v>11</v>
      </c>
      <c r="D3898" s="367" t="s">
        <v>5</v>
      </c>
      <c r="E3898" s="367" t="s">
        <v>6</v>
      </c>
      <c r="F3898" s="389" t="s">
        <v>6218</v>
      </c>
      <c r="G3898" s="385">
        <v>46149</v>
      </c>
      <c r="H3898" s="367" t="s">
        <v>14</v>
      </c>
      <c r="I3898" s="368" t="str">
        <f>VLOOKUP(H3898,'[4]Source Codes'!A$2:B$115,2,FALSE)</f>
        <v>AP Warrant Issuance</v>
      </c>
      <c r="J3898" s="412">
        <v>-1484252.66</v>
      </c>
      <c r="K3898" s="385">
        <v>46149</v>
      </c>
      <c r="L3898" s="369" t="s">
        <v>6223</v>
      </c>
      <c r="M3898" s="390">
        <v>46149.758391203701</v>
      </c>
      <c r="N3898" s="366" t="s">
        <v>356</v>
      </c>
      <c r="O3898" s="367" t="s">
        <v>357</v>
      </c>
      <c r="P3898" s="368" t="str">
        <f t="shared" ref="P3898:P3900" si="165">IF(J3898&gt;0,"Revenue",IF(J3898&lt;0,"Expense"))</f>
        <v>Expense</v>
      </c>
      <c r="Q3898" s="366" t="s">
        <v>2309</v>
      </c>
      <c r="R3898" s="366" t="s">
        <v>2310</v>
      </c>
      <c r="S3898" s="366" t="s">
        <v>203</v>
      </c>
    </row>
    <row r="3899" spans="1:19" ht="30" hidden="1" outlineLevel="1">
      <c r="B3899" s="384">
        <v>2026</v>
      </c>
      <c r="C3899" s="384">
        <v>10</v>
      </c>
      <c r="D3899" s="367" t="s">
        <v>5</v>
      </c>
      <c r="E3899" s="367" t="s">
        <v>6</v>
      </c>
      <c r="F3899" s="389" t="s">
        <v>6219</v>
      </c>
      <c r="G3899" s="385">
        <v>46142</v>
      </c>
      <c r="H3899" s="367" t="s">
        <v>9</v>
      </c>
      <c r="I3899" s="368" t="str">
        <f>VLOOKUP(H3899,'[4]Source Codes'!A$2:B$115,2,FALSE)</f>
        <v>On Line Journal Entries</v>
      </c>
      <c r="J3899" s="412">
        <v>50000000</v>
      </c>
      <c r="K3899" s="385">
        <v>46149</v>
      </c>
      <c r="L3899" s="369" t="s">
        <v>6221</v>
      </c>
      <c r="M3899" s="390">
        <v>46149.487314814818</v>
      </c>
      <c r="N3899" s="368" t="s">
        <v>359</v>
      </c>
      <c r="O3899" s="368" t="s">
        <v>368</v>
      </c>
      <c r="P3899" s="368" t="str">
        <f t="shared" si="165"/>
        <v>Revenue</v>
      </c>
      <c r="Q3899" s="366" t="s">
        <v>6224</v>
      </c>
      <c r="R3899" s="365" t="s">
        <v>3146</v>
      </c>
      <c r="S3899" s="366" t="s">
        <v>3144</v>
      </c>
    </row>
    <row r="3900" spans="1:19" ht="30" hidden="1" outlineLevel="1">
      <c r="B3900" s="384">
        <v>2026</v>
      </c>
      <c r="C3900" s="384">
        <v>10</v>
      </c>
      <c r="D3900" s="367" t="s">
        <v>5</v>
      </c>
      <c r="E3900" s="367" t="s">
        <v>6</v>
      </c>
      <c r="F3900" s="389" t="s">
        <v>6220</v>
      </c>
      <c r="G3900" s="385">
        <v>46142</v>
      </c>
      <c r="H3900" s="367" t="s">
        <v>9</v>
      </c>
      <c r="I3900" s="368" t="str">
        <f>VLOOKUP(H3900,'[4]Source Codes'!A$2:B$115,2,FALSE)</f>
        <v>On Line Journal Entries</v>
      </c>
      <c r="J3900" s="412">
        <v>27950823.219999999</v>
      </c>
      <c r="K3900" s="385">
        <v>46149</v>
      </c>
      <c r="L3900" s="369" t="s">
        <v>6222</v>
      </c>
      <c r="M3900" s="390">
        <v>46149.486956018518</v>
      </c>
      <c r="N3900" s="366" t="s">
        <v>377</v>
      </c>
      <c r="O3900" s="367" t="s">
        <v>370</v>
      </c>
      <c r="P3900" s="368" t="str">
        <f t="shared" si="165"/>
        <v>Revenue</v>
      </c>
      <c r="Q3900" s="366" t="s">
        <v>2619</v>
      </c>
      <c r="R3900" s="366" t="s">
        <v>5814</v>
      </c>
      <c r="S3900" s="366">
        <v>778120</v>
      </c>
    </row>
    <row r="3901" spans="1:19" ht="15" collapsed="1">
      <c r="J3901" s="413">
        <f>SUM(J3898:J3900)</f>
        <v>76466570.560000002</v>
      </c>
    </row>
    <row r="3903" spans="1:19" ht="12.75" customHeight="1">
      <c r="A3903" s="378" t="s">
        <v>6225</v>
      </c>
    </row>
    <row r="3904" spans="1:19" ht="30" hidden="1" outlineLevel="1">
      <c r="B3904" s="384">
        <v>2026</v>
      </c>
      <c r="C3904" s="384">
        <v>11</v>
      </c>
      <c r="D3904" s="367" t="s">
        <v>5</v>
      </c>
      <c r="E3904" s="367" t="s">
        <v>6</v>
      </c>
      <c r="F3904" s="389" t="s">
        <v>6226</v>
      </c>
      <c r="G3904" s="385">
        <v>46150</v>
      </c>
      <c r="H3904" s="367" t="s">
        <v>14</v>
      </c>
      <c r="I3904" s="368" t="str">
        <f>VLOOKUP(H3904,'[4]Source Codes'!A$2:B$115,2,FALSE)</f>
        <v>AP Warrant Issuance</v>
      </c>
      <c r="J3904" s="412">
        <v>-1413562.68</v>
      </c>
      <c r="K3904" s="385">
        <v>46150</v>
      </c>
      <c r="L3904" s="369" t="s">
        <v>6235</v>
      </c>
      <c r="M3904" s="390">
        <v>46150.758842592593</v>
      </c>
      <c r="N3904" s="366" t="s">
        <v>356</v>
      </c>
      <c r="O3904" s="367" t="s">
        <v>357</v>
      </c>
      <c r="P3904" s="368" t="str">
        <f t="shared" ref="P3904:P3912" si="166">IF(J3904&gt;0,"Revenue",IF(J3904&lt;0,"Expense"))</f>
        <v>Expense</v>
      </c>
      <c r="Q3904" s="366" t="s">
        <v>2309</v>
      </c>
      <c r="R3904" s="366" t="s">
        <v>2310</v>
      </c>
      <c r="S3904" s="366" t="s">
        <v>203</v>
      </c>
    </row>
    <row r="3905" spans="1:19" ht="45" hidden="1" outlineLevel="1">
      <c r="B3905" s="384">
        <v>2026</v>
      </c>
      <c r="C3905" s="384">
        <v>11</v>
      </c>
      <c r="D3905" s="367" t="s">
        <v>5</v>
      </c>
      <c r="E3905" s="367" t="s">
        <v>6</v>
      </c>
      <c r="F3905" s="389" t="s">
        <v>6227</v>
      </c>
      <c r="G3905" s="385">
        <v>46149</v>
      </c>
      <c r="H3905" s="367" t="s">
        <v>9</v>
      </c>
      <c r="I3905" s="368" t="str">
        <f>VLOOKUP(H3905,'[4]Source Codes'!A$2:B$115,2,FALSE)</f>
        <v>On Line Journal Entries</v>
      </c>
      <c r="J3905" s="412">
        <v>29316266</v>
      </c>
      <c r="K3905" s="385">
        <v>46150</v>
      </c>
      <c r="L3905" s="369" t="s">
        <v>396</v>
      </c>
      <c r="M3905" s="390">
        <v>46150.486111111109</v>
      </c>
      <c r="N3905" s="366" t="s">
        <v>359</v>
      </c>
      <c r="O3905" s="367" t="s">
        <v>364</v>
      </c>
      <c r="P3905" s="368" t="str">
        <f t="shared" si="166"/>
        <v>Revenue</v>
      </c>
      <c r="Q3905" s="366" t="s">
        <v>2232</v>
      </c>
      <c r="R3905" s="366" t="s">
        <v>2232</v>
      </c>
      <c r="S3905" s="366" t="s">
        <v>6236</v>
      </c>
    </row>
    <row r="3906" spans="1:19" ht="60" hidden="1" outlineLevel="1">
      <c r="B3906" s="384">
        <v>2026</v>
      </c>
      <c r="C3906" s="384">
        <v>11</v>
      </c>
      <c r="D3906" s="367" t="s">
        <v>5</v>
      </c>
      <c r="E3906" s="367" t="s">
        <v>6</v>
      </c>
      <c r="F3906" s="389" t="s">
        <v>6228</v>
      </c>
      <c r="G3906" s="385">
        <v>46148</v>
      </c>
      <c r="H3906" s="367" t="s">
        <v>9</v>
      </c>
      <c r="I3906" s="368" t="str">
        <f>VLOOKUP(H3906,'[4]Source Codes'!A$2:B$115,2,FALSE)</f>
        <v>On Line Journal Entries</v>
      </c>
      <c r="J3906" s="412">
        <v>4243246.1900000004</v>
      </c>
      <c r="K3906" s="385">
        <v>46150</v>
      </c>
      <c r="L3906" s="369" t="s">
        <v>347</v>
      </c>
      <c r="M3906" s="390">
        <v>46150.870393518519</v>
      </c>
      <c r="N3906" s="366" t="s">
        <v>359</v>
      </c>
      <c r="O3906" s="367" t="s">
        <v>364</v>
      </c>
      <c r="P3906" s="368" t="str">
        <f t="shared" si="166"/>
        <v>Revenue</v>
      </c>
      <c r="Q3906" s="366" t="s">
        <v>2232</v>
      </c>
      <c r="R3906" s="366" t="s">
        <v>2232</v>
      </c>
      <c r="S3906" s="366">
        <v>755924</v>
      </c>
    </row>
    <row r="3907" spans="1:19" ht="60" hidden="1" outlineLevel="1">
      <c r="B3907" s="384">
        <v>2026</v>
      </c>
      <c r="C3907" s="384">
        <v>11</v>
      </c>
      <c r="D3907" s="367" t="s">
        <v>5</v>
      </c>
      <c r="E3907" s="367" t="s">
        <v>6</v>
      </c>
      <c r="F3907" s="389" t="s">
        <v>6229</v>
      </c>
      <c r="G3907" s="385">
        <v>46148</v>
      </c>
      <c r="H3907" s="367" t="s">
        <v>9</v>
      </c>
      <c r="I3907" s="368" t="str">
        <f>VLOOKUP(H3907,'[4]Source Codes'!A$2:B$115,2,FALSE)</f>
        <v>On Line Journal Entries</v>
      </c>
      <c r="J3907" s="412">
        <v>3908986</v>
      </c>
      <c r="K3907" s="385">
        <v>46150</v>
      </c>
      <c r="L3907" s="369" t="s">
        <v>347</v>
      </c>
      <c r="M3907" s="390">
        <v>46150.870393518519</v>
      </c>
      <c r="N3907" s="366" t="s">
        <v>359</v>
      </c>
      <c r="O3907" s="367" t="s">
        <v>364</v>
      </c>
      <c r="P3907" s="368" t="str">
        <f t="shared" si="166"/>
        <v>Revenue</v>
      </c>
      <c r="Q3907" s="366" t="s">
        <v>2232</v>
      </c>
      <c r="R3907" s="366" t="s">
        <v>2232</v>
      </c>
      <c r="S3907" s="366">
        <v>755924</v>
      </c>
    </row>
    <row r="3908" spans="1:19" ht="60" hidden="1" outlineLevel="1">
      <c r="B3908" s="384">
        <v>2026</v>
      </c>
      <c r="C3908" s="384">
        <v>11</v>
      </c>
      <c r="D3908" s="367" t="s">
        <v>5</v>
      </c>
      <c r="E3908" s="367" t="s">
        <v>6</v>
      </c>
      <c r="F3908" s="389" t="s">
        <v>6230</v>
      </c>
      <c r="G3908" s="385">
        <v>46148</v>
      </c>
      <c r="H3908" s="367" t="s">
        <v>9</v>
      </c>
      <c r="I3908" s="368" t="str">
        <f>VLOOKUP(H3908,'[4]Source Codes'!A$2:B$115,2,FALSE)</f>
        <v>On Line Journal Entries</v>
      </c>
      <c r="J3908" s="412">
        <v>3833327.61</v>
      </c>
      <c r="K3908" s="385">
        <v>46150</v>
      </c>
      <c r="L3908" s="369" t="s">
        <v>347</v>
      </c>
      <c r="M3908" s="390">
        <v>46150.870393518519</v>
      </c>
      <c r="N3908" s="366" t="s">
        <v>359</v>
      </c>
      <c r="O3908" s="367" t="s">
        <v>364</v>
      </c>
      <c r="P3908" s="368" t="str">
        <f t="shared" si="166"/>
        <v>Revenue</v>
      </c>
      <c r="Q3908" s="366" t="s">
        <v>2232</v>
      </c>
      <c r="R3908" s="366" t="s">
        <v>2232</v>
      </c>
      <c r="S3908" s="366">
        <v>755924</v>
      </c>
    </row>
    <row r="3909" spans="1:19" ht="60" hidden="1" outlineLevel="1">
      <c r="B3909" s="384">
        <v>2026</v>
      </c>
      <c r="C3909" s="384">
        <v>11</v>
      </c>
      <c r="D3909" s="367" t="s">
        <v>5</v>
      </c>
      <c r="E3909" s="367" t="s">
        <v>6</v>
      </c>
      <c r="F3909" s="389" t="s">
        <v>6231</v>
      </c>
      <c r="G3909" s="385">
        <v>46148</v>
      </c>
      <c r="H3909" s="367" t="s">
        <v>9</v>
      </c>
      <c r="I3909" s="368" t="str">
        <f>VLOOKUP(H3909,'[4]Source Codes'!A$2:B$115,2,FALSE)</f>
        <v>On Line Journal Entries</v>
      </c>
      <c r="J3909" s="412">
        <v>3720567.42</v>
      </c>
      <c r="K3909" s="385">
        <v>46150</v>
      </c>
      <c r="L3909" s="369" t="s">
        <v>347</v>
      </c>
      <c r="M3909" s="390">
        <v>46150.870393518519</v>
      </c>
      <c r="N3909" s="366" t="s">
        <v>359</v>
      </c>
      <c r="O3909" s="367" t="s">
        <v>364</v>
      </c>
      <c r="P3909" s="368" t="str">
        <f t="shared" si="166"/>
        <v>Revenue</v>
      </c>
      <c r="Q3909" s="366" t="s">
        <v>2232</v>
      </c>
      <c r="R3909" s="366" t="s">
        <v>2232</v>
      </c>
      <c r="S3909" s="366">
        <v>755924</v>
      </c>
    </row>
    <row r="3910" spans="1:19" ht="60" hidden="1" outlineLevel="1">
      <c r="B3910" s="384">
        <v>2026</v>
      </c>
      <c r="C3910" s="384">
        <v>11</v>
      </c>
      <c r="D3910" s="367" t="s">
        <v>5</v>
      </c>
      <c r="E3910" s="367" t="s">
        <v>6</v>
      </c>
      <c r="F3910" s="389" t="s">
        <v>6232</v>
      </c>
      <c r="G3910" s="385">
        <v>46148</v>
      </c>
      <c r="H3910" s="367" t="s">
        <v>9</v>
      </c>
      <c r="I3910" s="368" t="str">
        <f>VLOOKUP(H3910,'[4]Source Codes'!A$2:B$115,2,FALSE)</f>
        <v>On Line Journal Entries</v>
      </c>
      <c r="J3910" s="412">
        <v>3443837.55</v>
      </c>
      <c r="K3910" s="385">
        <v>46150</v>
      </c>
      <c r="L3910" s="369" t="s">
        <v>347</v>
      </c>
      <c r="M3910" s="390">
        <v>46150.870393518519</v>
      </c>
      <c r="N3910" s="366" t="s">
        <v>359</v>
      </c>
      <c r="O3910" s="367" t="s">
        <v>364</v>
      </c>
      <c r="P3910" s="368" t="str">
        <f t="shared" si="166"/>
        <v>Revenue</v>
      </c>
      <c r="Q3910" s="366" t="s">
        <v>2232</v>
      </c>
      <c r="R3910" s="366" t="s">
        <v>2232</v>
      </c>
      <c r="S3910" s="366">
        <v>755924</v>
      </c>
    </row>
    <row r="3911" spans="1:19" ht="45" hidden="1" outlineLevel="1">
      <c r="B3911" s="384">
        <v>2026</v>
      </c>
      <c r="C3911" s="384">
        <v>11</v>
      </c>
      <c r="D3911" s="367" t="s">
        <v>5</v>
      </c>
      <c r="E3911" s="367" t="s">
        <v>6</v>
      </c>
      <c r="F3911" s="389" t="s">
        <v>6233</v>
      </c>
      <c r="G3911" s="385">
        <v>46149</v>
      </c>
      <c r="H3911" s="367" t="s">
        <v>9</v>
      </c>
      <c r="I3911" s="368" t="str">
        <f>VLOOKUP(H3911,'[4]Source Codes'!A$2:B$115,2,FALSE)</f>
        <v>On Line Journal Entries</v>
      </c>
      <c r="J3911" s="412">
        <v>3164522</v>
      </c>
      <c r="K3911" s="385">
        <v>46150</v>
      </c>
      <c r="L3911" s="369" t="s">
        <v>343</v>
      </c>
      <c r="M3911" s="390">
        <v>46150.870393518519</v>
      </c>
      <c r="N3911" s="366" t="s">
        <v>361</v>
      </c>
      <c r="O3911" s="367" t="s">
        <v>364</v>
      </c>
      <c r="P3911" s="368" t="str">
        <f t="shared" si="166"/>
        <v>Revenue</v>
      </c>
      <c r="Q3911" s="366" t="s">
        <v>2232</v>
      </c>
      <c r="R3911" s="366" t="s">
        <v>2232</v>
      </c>
      <c r="S3911" s="366" t="s">
        <v>3018</v>
      </c>
    </row>
    <row r="3912" spans="1:19" ht="45" hidden="1" outlineLevel="1">
      <c r="B3912" s="384">
        <v>2026</v>
      </c>
      <c r="C3912" s="384">
        <v>11</v>
      </c>
      <c r="D3912" s="367" t="s">
        <v>5</v>
      </c>
      <c r="E3912" s="367" t="s">
        <v>6</v>
      </c>
      <c r="F3912" s="389" t="s">
        <v>6234</v>
      </c>
      <c r="G3912" s="385">
        <v>46149</v>
      </c>
      <c r="H3912" s="367" t="s">
        <v>9</v>
      </c>
      <c r="I3912" s="368" t="str">
        <f>VLOOKUP(H3912,'[4]Source Codes'!A$2:B$115,2,FALSE)</f>
        <v>On Line Journal Entries</v>
      </c>
      <c r="J3912" s="412">
        <v>1497651</v>
      </c>
      <c r="K3912" s="385">
        <v>46150</v>
      </c>
      <c r="L3912" s="369" t="s">
        <v>343</v>
      </c>
      <c r="M3912" s="390">
        <v>46150.870393518519</v>
      </c>
      <c r="N3912" s="366" t="s">
        <v>361</v>
      </c>
      <c r="O3912" s="367" t="s">
        <v>364</v>
      </c>
      <c r="P3912" s="368" t="str">
        <f t="shared" si="166"/>
        <v>Revenue</v>
      </c>
      <c r="Q3912" s="366" t="s">
        <v>2232</v>
      </c>
      <c r="R3912" s="366" t="s">
        <v>2232</v>
      </c>
      <c r="S3912" s="366" t="s">
        <v>5584</v>
      </c>
    </row>
    <row r="3913" spans="1:19" ht="15" collapsed="1">
      <c r="J3913" s="413">
        <f>SUM(J3904:J3912)</f>
        <v>51714841.090000004</v>
      </c>
    </row>
    <row r="3915" spans="1:19" ht="12.75" customHeight="1">
      <c r="A3915" s="378" t="s">
        <v>6237</v>
      </c>
    </row>
    <row r="3916" spans="1:19" ht="45" hidden="1" outlineLevel="1">
      <c r="B3916" s="384">
        <v>2026</v>
      </c>
      <c r="C3916" s="384">
        <v>11</v>
      </c>
      <c r="D3916" s="367" t="s">
        <v>5</v>
      </c>
      <c r="E3916" s="367" t="s">
        <v>6</v>
      </c>
      <c r="F3916" s="389" t="s">
        <v>6238</v>
      </c>
      <c r="G3916" s="385">
        <v>46150</v>
      </c>
      <c r="H3916" s="367" t="s">
        <v>12</v>
      </c>
      <c r="I3916" s="368" t="str">
        <f>VLOOKUP(H3916,'[4]Source Codes'!A$2:B$115,2,FALSE)</f>
        <v>AR Direct Cash Journal</v>
      </c>
      <c r="J3916" s="412">
        <v>1434723.26</v>
      </c>
      <c r="K3916" s="385">
        <v>46153</v>
      </c>
      <c r="L3916" s="369" t="s">
        <v>6240</v>
      </c>
      <c r="M3916" s="390">
        <v>46153.751840277779</v>
      </c>
      <c r="N3916" s="366" t="s">
        <v>2185</v>
      </c>
      <c r="O3916" s="367" t="s">
        <v>385</v>
      </c>
      <c r="P3916" s="368" t="str">
        <f t="shared" ref="P3916:P3917" si="167">IF(J3916&gt;0,"Revenue",IF(J3916&lt;0,"Expense"))</f>
        <v>Revenue</v>
      </c>
      <c r="Q3916" s="366" t="s">
        <v>2757</v>
      </c>
      <c r="R3916" s="366" t="s">
        <v>2757</v>
      </c>
      <c r="S3916" s="366" t="s">
        <v>6241</v>
      </c>
    </row>
    <row r="3917" spans="1:19" ht="60" hidden="1" outlineLevel="1">
      <c r="B3917" s="384">
        <v>2026</v>
      </c>
      <c r="C3917" s="384">
        <v>11</v>
      </c>
      <c r="D3917" s="367" t="s">
        <v>5</v>
      </c>
      <c r="E3917" s="367" t="s">
        <v>6</v>
      </c>
      <c r="F3917" s="389" t="s">
        <v>6239</v>
      </c>
      <c r="G3917" s="385">
        <v>46149</v>
      </c>
      <c r="H3917" s="367" t="s">
        <v>12</v>
      </c>
      <c r="I3917" s="368" t="str">
        <f>VLOOKUP(H3917,'[4]Source Codes'!A$2:B$115,2,FALSE)</f>
        <v>AR Direct Cash Journal</v>
      </c>
      <c r="J3917" s="412">
        <v>2157253.94</v>
      </c>
      <c r="K3917" s="385">
        <v>46153</v>
      </c>
      <c r="L3917" s="369" t="s">
        <v>6243</v>
      </c>
      <c r="M3917" s="390">
        <v>46153.751840277779</v>
      </c>
      <c r="N3917" s="366" t="s">
        <v>356</v>
      </c>
      <c r="O3917" s="367" t="s">
        <v>370</v>
      </c>
      <c r="P3917" s="368" t="str">
        <f t="shared" si="167"/>
        <v>Revenue</v>
      </c>
      <c r="Q3917" s="366" t="s">
        <v>2264</v>
      </c>
      <c r="R3917" s="366" t="s">
        <v>2264</v>
      </c>
      <c r="S3917" s="366" t="s">
        <v>6242</v>
      </c>
    </row>
    <row r="3918" spans="1:19" ht="15" collapsed="1">
      <c r="J3918" s="413">
        <f>SUM(J3916:J3917)</f>
        <v>3591977.2</v>
      </c>
    </row>
    <row r="3920" spans="1:19" ht="12.75" customHeight="1">
      <c r="A3920" s="378" t="s">
        <v>6244</v>
      </c>
    </row>
    <row r="3921" spans="1:19" ht="30" hidden="1" outlineLevel="1">
      <c r="B3921" s="384">
        <v>2026</v>
      </c>
      <c r="C3921" s="384">
        <v>11</v>
      </c>
      <c r="D3921" s="367" t="s">
        <v>5</v>
      </c>
      <c r="E3921" s="367" t="s">
        <v>6</v>
      </c>
      <c r="F3921" s="389" t="s">
        <v>6245</v>
      </c>
      <c r="G3921" s="385">
        <v>46156</v>
      </c>
      <c r="H3921" s="367" t="s">
        <v>14</v>
      </c>
      <c r="I3921" s="368" t="str">
        <f>VLOOKUP(H3921,'[4]Source Codes'!A$2:B$115,2,FALSE)</f>
        <v>AP Warrant Issuance</v>
      </c>
      <c r="J3921" s="412">
        <v>-1803284.22</v>
      </c>
      <c r="K3921" s="385">
        <v>46154</v>
      </c>
      <c r="L3921" s="369" t="s">
        <v>6247</v>
      </c>
      <c r="M3921" s="390">
        <v>46154.758703703701</v>
      </c>
      <c r="N3921" s="366" t="s">
        <v>356</v>
      </c>
      <c r="O3921" s="367" t="s">
        <v>368</v>
      </c>
      <c r="P3921" s="368" t="str">
        <f t="shared" ref="P3921:P3922" si="168">IF(J3921&gt;0,"Revenue",IF(J3921&lt;0,"Expense"))</f>
        <v>Expense</v>
      </c>
      <c r="Q3921" s="366" t="s">
        <v>5835</v>
      </c>
      <c r="R3921" s="366" t="s">
        <v>5835</v>
      </c>
      <c r="S3921" s="366" t="s">
        <v>203</v>
      </c>
    </row>
    <row r="3922" spans="1:19" ht="60" hidden="1" outlineLevel="1">
      <c r="B3922" s="384">
        <v>2026</v>
      </c>
      <c r="C3922" s="384">
        <v>11</v>
      </c>
      <c r="D3922" s="367" t="s">
        <v>5</v>
      </c>
      <c r="E3922" s="367" t="s">
        <v>6</v>
      </c>
      <c r="F3922" s="389" t="s">
        <v>6246</v>
      </c>
      <c r="G3922" s="385">
        <v>46153</v>
      </c>
      <c r="H3922" s="367" t="s">
        <v>11</v>
      </c>
      <c r="I3922" s="368" t="str">
        <f>VLOOKUP(H3922,'[4]Source Codes'!A$2:B$115,2,FALSE)</f>
        <v>AR Payments</v>
      </c>
      <c r="J3922" s="412">
        <v>4474540.57</v>
      </c>
      <c r="K3922" s="385">
        <v>46154</v>
      </c>
      <c r="L3922" s="369" t="s">
        <v>6248</v>
      </c>
      <c r="M3922" s="390">
        <v>46154.752280092594</v>
      </c>
      <c r="N3922" s="366" t="s">
        <v>372</v>
      </c>
      <c r="O3922" s="367" t="s">
        <v>362</v>
      </c>
      <c r="P3922" s="368" t="str">
        <f t="shared" si="168"/>
        <v>Revenue</v>
      </c>
      <c r="Q3922" s="366" t="s">
        <v>2360</v>
      </c>
      <c r="R3922" s="366" t="s">
        <v>3049</v>
      </c>
      <c r="S3922" s="366" t="s">
        <v>5831</v>
      </c>
    </row>
    <row r="3923" spans="1:19" ht="15" collapsed="1">
      <c r="J3923" s="413">
        <f>SUM(J3921:J3922)</f>
        <v>2671256.3500000006</v>
      </c>
    </row>
    <row r="3925" spans="1:19" ht="12.75" customHeight="1">
      <c r="A3925" s="378" t="s">
        <v>6249</v>
      </c>
    </row>
    <row r="3926" spans="1:19" ht="90" hidden="1" outlineLevel="1">
      <c r="B3926" s="384">
        <v>2026</v>
      </c>
      <c r="C3926" s="384">
        <v>11</v>
      </c>
      <c r="D3926" s="367" t="s">
        <v>5</v>
      </c>
      <c r="E3926" s="367" t="s">
        <v>6</v>
      </c>
      <c r="F3926" s="389" t="s">
        <v>6250</v>
      </c>
      <c r="G3926" s="385">
        <v>46157</v>
      </c>
      <c r="H3926" s="367" t="s">
        <v>14</v>
      </c>
      <c r="I3926" s="368" t="str">
        <f>VLOOKUP(H3926,'[4]Source Codes'!A$2:B$115,2,FALSE)</f>
        <v>AP Warrant Issuance</v>
      </c>
      <c r="J3926" s="412">
        <v>-16353577.68</v>
      </c>
      <c r="K3926" s="385">
        <v>46155</v>
      </c>
      <c r="L3926" s="369" t="s">
        <v>6254</v>
      </c>
      <c r="M3926" s="390">
        <v>46155.758935185186</v>
      </c>
      <c r="N3926" s="366" t="s">
        <v>359</v>
      </c>
      <c r="O3926" s="367" t="s">
        <v>364</v>
      </c>
      <c r="P3926" s="368" t="str">
        <f t="shared" ref="P3926:P3935" si="169">IF(J3926&gt;0,"Revenue",IF(J3926&lt;0,"Expense"))</f>
        <v>Expense</v>
      </c>
      <c r="Q3926" s="366" t="s">
        <v>6253</v>
      </c>
      <c r="R3926" s="365">
        <v>46113</v>
      </c>
      <c r="S3926" s="366">
        <v>530440</v>
      </c>
    </row>
    <row r="3927" spans="1:19" ht="15" hidden="1" outlineLevel="1">
      <c r="B3927" s="384">
        <v>2026</v>
      </c>
      <c r="C3927" s="384">
        <v>11</v>
      </c>
      <c r="D3927" s="367" t="s">
        <v>5</v>
      </c>
      <c r="E3927" s="367" t="s">
        <v>6</v>
      </c>
      <c r="F3927" s="389" t="s">
        <v>6251</v>
      </c>
      <c r="G3927" s="385">
        <v>46155</v>
      </c>
      <c r="H3927" s="367" t="s">
        <v>7</v>
      </c>
      <c r="I3927" s="368" t="str">
        <f>VLOOKUP(H3927,'[4]Source Codes'!A$2:B$115,2,FALSE)</f>
        <v>HRMS Interface Journals</v>
      </c>
      <c r="J3927" s="412">
        <v>-2686112.46</v>
      </c>
      <c r="K3927" s="385">
        <v>46155</v>
      </c>
      <c r="L3927" s="369" t="s">
        <v>409</v>
      </c>
      <c r="M3927" s="390">
        <v>46155.635833333334</v>
      </c>
      <c r="N3927" s="366" t="s">
        <v>378</v>
      </c>
      <c r="O3927" s="367" t="s">
        <v>379</v>
      </c>
      <c r="P3927" s="368" t="str">
        <f t="shared" si="169"/>
        <v>Expense</v>
      </c>
      <c r="Q3927" s="366" t="s">
        <v>379</v>
      </c>
      <c r="R3927" s="366" t="s">
        <v>6255</v>
      </c>
      <c r="S3927" s="366">
        <v>513120</v>
      </c>
    </row>
    <row r="3928" spans="1:19" ht="15" hidden="1" outlineLevel="1">
      <c r="B3928" s="384">
        <v>2026</v>
      </c>
      <c r="C3928" s="384">
        <v>11</v>
      </c>
      <c r="D3928" s="367" t="s">
        <v>5</v>
      </c>
      <c r="E3928" s="367" t="s">
        <v>6</v>
      </c>
      <c r="F3928" s="389" t="s">
        <v>6252</v>
      </c>
      <c r="G3928" s="385">
        <v>46155</v>
      </c>
      <c r="H3928" s="367" t="s">
        <v>7</v>
      </c>
      <c r="I3928" s="368" t="str">
        <f>VLOOKUP(H3928,'[4]Source Codes'!A$2:B$115,2,FALSE)</f>
        <v>HRMS Interface Journals</v>
      </c>
      <c r="J3928" s="412">
        <v>-14441196.18</v>
      </c>
      <c r="K3928" s="385">
        <v>46155</v>
      </c>
      <c r="L3928" s="369" t="s">
        <v>407</v>
      </c>
      <c r="M3928" s="390">
        <v>46155.633194444446</v>
      </c>
      <c r="N3928" s="366" t="s">
        <v>378</v>
      </c>
      <c r="O3928" s="367" t="s">
        <v>379</v>
      </c>
      <c r="P3928" s="368" t="str">
        <f t="shared" si="169"/>
        <v>Expense</v>
      </c>
      <c r="Q3928" s="366" t="s">
        <v>379</v>
      </c>
      <c r="R3928" s="366" t="s">
        <v>6255</v>
      </c>
      <c r="S3928" s="366" t="s">
        <v>203</v>
      </c>
    </row>
    <row r="3929" spans="1:19" ht="15" collapsed="1">
      <c r="I3929" s="368"/>
      <c r="J3929" s="413">
        <f>SUM(J3926:J3928)</f>
        <v>-33480886.32</v>
      </c>
      <c r="P3929" s="368"/>
    </row>
    <row r="3930" spans="1:19" ht="12.75" customHeight="1">
      <c r="I3930" s="368"/>
      <c r="P3930" s="368"/>
    </row>
    <row r="3931" spans="1:19" ht="12.75" customHeight="1">
      <c r="A3931" s="378" t="s">
        <v>6256</v>
      </c>
      <c r="I3931" s="368"/>
      <c r="P3931" s="368"/>
    </row>
    <row r="3932" spans="1:19" ht="60" hidden="1" outlineLevel="1">
      <c r="B3932" s="384">
        <v>2026</v>
      </c>
      <c r="C3932" s="384">
        <v>11</v>
      </c>
      <c r="D3932" s="367" t="s">
        <v>5</v>
      </c>
      <c r="E3932" s="367" t="s">
        <v>6</v>
      </c>
      <c r="F3932" s="389" t="s">
        <v>6257</v>
      </c>
      <c r="G3932" s="385">
        <v>46156</v>
      </c>
      <c r="H3932" s="367" t="s">
        <v>14</v>
      </c>
      <c r="I3932" s="368" t="str">
        <f>VLOOKUP(H3932,'[4]Source Codes'!A$2:B$115,2,FALSE)</f>
        <v>AP Warrant Issuance</v>
      </c>
      <c r="J3932" s="412">
        <v>-3688168.06</v>
      </c>
      <c r="K3932" s="385">
        <v>46156</v>
      </c>
      <c r="L3932" s="369" t="s">
        <v>6259</v>
      </c>
      <c r="M3932" s="390">
        <v>46156.758900462963</v>
      </c>
      <c r="N3932" s="366" t="s">
        <v>356</v>
      </c>
      <c r="O3932" s="367" t="s">
        <v>368</v>
      </c>
      <c r="P3932" s="368" t="str">
        <f t="shared" si="169"/>
        <v>Expense</v>
      </c>
      <c r="Q3932" s="366" t="s">
        <v>5835</v>
      </c>
      <c r="R3932" s="366" t="s">
        <v>5835</v>
      </c>
      <c r="S3932" s="366">
        <v>530280</v>
      </c>
    </row>
    <row r="3933" spans="1:19" ht="45" hidden="1" outlineLevel="1">
      <c r="B3933" s="384">
        <v>2026</v>
      </c>
      <c r="C3933" s="384">
        <v>11</v>
      </c>
      <c r="D3933" s="367" t="s">
        <v>5</v>
      </c>
      <c r="E3933" s="367" t="s">
        <v>6</v>
      </c>
      <c r="F3933" s="389" t="s">
        <v>6258</v>
      </c>
      <c r="G3933" s="385">
        <v>46156</v>
      </c>
      <c r="H3933" s="367" t="s">
        <v>14</v>
      </c>
      <c r="I3933" s="368" t="str">
        <f>VLOOKUP(H3933,'[4]Source Codes'!A$2:B$115,2,FALSE)</f>
        <v>AP Warrant Issuance</v>
      </c>
      <c r="J3933" s="412">
        <v>-1923930.93</v>
      </c>
      <c r="K3933" s="385">
        <v>46156</v>
      </c>
      <c r="L3933" s="369" t="s">
        <v>6260</v>
      </c>
      <c r="M3933" s="390">
        <v>46156.758900462963</v>
      </c>
      <c r="N3933" s="366" t="s">
        <v>356</v>
      </c>
      <c r="O3933" s="367" t="s">
        <v>357</v>
      </c>
      <c r="P3933" s="368" t="str">
        <f t="shared" si="169"/>
        <v>Expense</v>
      </c>
      <c r="Q3933" s="366" t="s">
        <v>2309</v>
      </c>
      <c r="R3933" s="366" t="s">
        <v>2310</v>
      </c>
      <c r="S3933" s="366">
        <v>542060</v>
      </c>
    </row>
    <row r="3934" spans="1:19" ht="30" hidden="1" outlineLevel="1">
      <c r="B3934" s="384">
        <v>2026</v>
      </c>
      <c r="C3934" s="384">
        <v>11</v>
      </c>
      <c r="D3934" s="367" t="s">
        <v>5</v>
      </c>
      <c r="E3934" s="367" t="s">
        <v>6</v>
      </c>
      <c r="F3934" s="389" t="s">
        <v>6262</v>
      </c>
      <c r="G3934" s="385">
        <v>46155</v>
      </c>
      <c r="H3934" s="367" t="s">
        <v>16</v>
      </c>
      <c r="I3934" s="368" t="str">
        <f>VLOOKUP(H3934,'[4]Source Codes'!A$2:B$115,2,FALSE)</f>
        <v>Property Tax Interface</v>
      </c>
      <c r="J3934" s="412">
        <v>10232022.67</v>
      </c>
      <c r="K3934" s="385">
        <v>46156</v>
      </c>
      <c r="L3934" s="369" t="s">
        <v>6263</v>
      </c>
      <c r="M3934" s="390">
        <v>46156.341354166667</v>
      </c>
      <c r="N3934" s="366" t="s">
        <v>387</v>
      </c>
      <c r="O3934" s="367" t="s">
        <v>384</v>
      </c>
      <c r="P3934" s="368" t="str">
        <f t="shared" si="169"/>
        <v>Revenue</v>
      </c>
      <c r="Q3934" s="366" t="s">
        <v>2506</v>
      </c>
      <c r="R3934" s="366" t="s">
        <v>6264</v>
      </c>
      <c r="S3934" s="366" t="s">
        <v>6265</v>
      </c>
    </row>
    <row r="3935" spans="1:19" ht="15" hidden="1" outlineLevel="1">
      <c r="B3935" s="384">
        <v>2026</v>
      </c>
      <c r="C3935" s="384">
        <v>11</v>
      </c>
      <c r="D3935" s="367" t="s">
        <v>5</v>
      </c>
      <c r="E3935" s="367" t="s">
        <v>6</v>
      </c>
      <c r="F3935" s="389" t="s">
        <v>6266</v>
      </c>
      <c r="G3935" s="385">
        <v>46155</v>
      </c>
      <c r="H3935" s="367" t="s">
        <v>7</v>
      </c>
      <c r="I3935" s="368" t="str">
        <f>VLOOKUP(H3935,'[4]Source Codes'!A$2:B$115,2,FALSE)</f>
        <v>HRMS Interface Journals</v>
      </c>
      <c r="J3935" s="412">
        <v>-78151809.040000007</v>
      </c>
      <c r="K3935" s="385">
        <v>46156</v>
      </c>
      <c r="L3935" s="369" t="s">
        <v>406</v>
      </c>
      <c r="M3935" s="390">
        <v>46156.321250000001</v>
      </c>
      <c r="N3935" s="366" t="s">
        <v>378</v>
      </c>
      <c r="O3935" s="367" t="s">
        <v>371</v>
      </c>
      <c r="P3935" s="368" t="str">
        <f t="shared" si="169"/>
        <v>Expense</v>
      </c>
      <c r="Q3935" s="366" t="s">
        <v>379</v>
      </c>
      <c r="R3935" s="366" t="s">
        <v>6255</v>
      </c>
      <c r="S3935" s="366" t="s">
        <v>203</v>
      </c>
    </row>
    <row r="3936" spans="1:19" ht="12.75" customHeight="1" collapsed="1">
      <c r="J3936" s="413">
        <f>SUM(J3932:J3935)</f>
        <v>-73531885.360000014</v>
      </c>
    </row>
    <row r="3938" spans="1:19" ht="12.75" customHeight="1">
      <c r="A3938" s="378" t="s">
        <v>6267</v>
      </c>
    </row>
    <row r="3939" spans="1:19" ht="30" hidden="1" outlineLevel="1">
      <c r="B3939" s="384">
        <v>2026</v>
      </c>
      <c r="C3939" s="384">
        <v>11</v>
      </c>
      <c r="D3939" s="367" t="s">
        <v>5</v>
      </c>
      <c r="E3939" s="367" t="s">
        <v>6</v>
      </c>
      <c r="F3939" s="389" t="s">
        <v>6268</v>
      </c>
      <c r="G3939" s="385">
        <v>46157</v>
      </c>
      <c r="H3939" s="367" t="s">
        <v>14</v>
      </c>
      <c r="I3939" s="368" t="str">
        <f>VLOOKUP(H3939,'[4]Source Codes'!A$2:B$115,2,FALSE)</f>
        <v>AP Warrant Issuance</v>
      </c>
      <c r="J3939" s="412">
        <v>-1548547.71</v>
      </c>
      <c r="K3939" s="385">
        <v>46157</v>
      </c>
      <c r="L3939" s="369" t="s">
        <v>6271</v>
      </c>
      <c r="M3939" s="390">
        <v>46157.757754629631</v>
      </c>
      <c r="N3939" s="366" t="s">
        <v>356</v>
      </c>
      <c r="O3939" s="367" t="s">
        <v>364</v>
      </c>
      <c r="P3939" s="368" t="str">
        <f t="shared" ref="P3939:P3941" si="170">IF(J3939&gt;0,"Revenue",IF(J3939&lt;0,"Expense"))</f>
        <v>Expense</v>
      </c>
      <c r="Q3939" s="366" t="s">
        <v>2344</v>
      </c>
      <c r="R3939" s="366" t="s">
        <v>2344</v>
      </c>
      <c r="S3939" s="366" t="s">
        <v>203</v>
      </c>
    </row>
    <row r="3940" spans="1:19" ht="30" hidden="1" outlineLevel="1">
      <c r="B3940" s="384">
        <v>2026</v>
      </c>
      <c r="C3940" s="384">
        <v>11</v>
      </c>
      <c r="D3940" s="367" t="s">
        <v>5</v>
      </c>
      <c r="E3940" s="367" t="s">
        <v>6</v>
      </c>
      <c r="F3940" s="389" t="s">
        <v>6269</v>
      </c>
      <c r="G3940" s="385">
        <v>46161</v>
      </c>
      <c r="H3940" s="367" t="s">
        <v>14</v>
      </c>
      <c r="I3940" s="368" t="str">
        <f>VLOOKUP(H3940,'[4]Source Codes'!A$2:B$115,2,FALSE)</f>
        <v>AP Warrant Issuance</v>
      </c>
      <c r="J3940" s="412">
        <v>-1444113.07</v>
      </c>
      <c r="K3940" s="385">
        <v>46157</v>
      </c>
      <c r="L3940" s="369" t="s">
        <v>6272</v>
      </c>
      <c r="M3940" s="390">
        <v>46157.757754629631</v>
      </c>
      <c r="N3940" s="366" t="s">
        <v>356</v>
      </c>
      <c r="O3940" s="367" t="s">
        <v>368</v>
      </c>
      <c r="P3940" s="368" t="str">
        <f t="shared" si="170"/>
        <v>Expense</v>
      </c>
      <c r="Q3940" s="366" t="s">
        <v>5835</v>
      </c>
      <c r="R3940" s="366" t="s">
        <v>5835</v>
      </c>
      <c r="S3940" s="366" t="s">
        <v>203</v>
      </c>
    </row>
    <row r="3941" spans="1:19" ht="30" hidden="1" outlineLevel="1">
      <c r="B3941" s="384">
        <v>2026</v>
      </c>
      <c r="C3941" s="384">
        <v>11</v>
      </c>
      <c r="D3941" s="367" t="s">
        <v>5</v>
      </c>
      <c r="E3941" s="367" t="s">
        <v>6</v>
      </c>
      <c r="F3941" s="389" t="s">
        <v>6270</v>
      </c>
      <c r="G3941" s="385">
        <v>46157</v>
      </c>
      <c r="H3941" s="367" t="s">
        <v>14</v>
      </c>
      <c r="I3941" s="368" t="str">
        <f>VLOOKUP(H3941,'[4]Source Codes'!A$2:B$115,2,FALSE)</f>
        <v>AP Warrant Issuance</v>
      </c>
      <c r="J3941" s="412">
        <v>-1211870.8799999999</v>
      </c>
      <c r="K3941" s="385">
        <v>46157</v>
      </c>
      <c r="L3941" s="369" t="s">
        <v>6273</v>
      </c>
      <c r="M3941" s="390">
        <v>46157.757754629631</v>
      </c>
      <c r="N3941" s="366" t="s">
        <v>356</v>
      </c>
      <c r="O3941" s="367" t="s">
        <v>368</v>
      </c>
      <c r="P3941" s="368" t="str">
        <f t="shared" si="170"/>
        <v>Expense</v>
      </c>
      <c r="Q3941" s="366" t="s">
        <v>5835</v>
      </c>
      <c r="R3941" s="366" t="s">
        <v>5835</v>
      </c>
      <c r="S3941" s="366" t="s">
        <v>203</v>
      </c>
    </row>
    <row r="3942" spans="1:19" ht="12.75" customHeight="1" collapsed="1">
      <c r="J3942" s="413">
        <f>SUM(J3939:J3941)</f>
        <v>-4204531.66</v>
      </c>
    </row>
    <row r="3944" spans="1:19" ht="12.75" customHeight="1">
      <c r="A3944" s="378" t="s">
        <v>6274</v>
      </c>
    </row>
    <row r="3945" spans="1:19" ht="75" hidden="1" outlineLevel="1">
      <c r="B3945" s="384">
        <v>2026</v>
      </c>
      <c r="C3945" s="384">
        <v>11</v>
      </c>
      <c r="D3945" s="367" t="s">
        <v>5</v>
      </c>
      <c r="E3945" s="367" t="s">
        <v>6</v>
      </c>
      <c r="F3945" s="389" t="s">
        <v>6275</v>
      </c>
      <c r="G3945" s="385">
        <v>46160</v>
      </c>
      <c r="H3945" s="367" t="s">
        <v>11</v>
      </c>
      <c r="I3945" s="368" t="str">
        <f>VLOOKUP(H3945,'[4]Source Codes'!A$2:B$115,2,FALSE)</f>
        <v>AR Payments</v>
      </c>
      <c r="J3945" s="412">
        <v>1929541.73</v>
      </c>
      <c r="K3945" s="385">
        <v>46160</v>
      </c>
      <c r="L3945" s="369" t="s">
        <v>6289</v>
      </c>
      <c r="M3945" s="390">
        <v>46160.752060185187</v>
      </c>
      <c r="N3945" s="366" t="s">
        <v>359</v>
      </c>
      <c r="O3945" s="367" t="s">
        <v>357</v>
      </c>
      <c r="P3945" s="368" t="str">
        <f t="shared" ref="P3945:P3951" si="171">IF(J3945&gt;0,"Revenue",IF(J3945&lt;0,"Expense"))</f>
        <v>Revenue</v>
      </c>
      <c r="Q3945" s="366" t="s">
        <v>2157</v>
      </c>
      <c r="R3945" s="366" t="s">
        <v>2157</v>
      </c>
      <c r="S3945" s="366" t="s">
        <v>2531</v>
      </c>
    </row>
    <row r="3946" spans="1:19" ht="60" hidden="1" outlineLevel="1">
      <c r="B3946" s="384">
        <v>2026</v>
      </c>
      <c r="C3946" s="384">
        <v>11</v>
      </c>
      <c r="D3946" s="367" t="s">
        <v>5</v>
      </c>
      <c r="E3946" s="367" t="s">
        <v>6</v>
      </c>
      <c r="F3946" s="389" t="s">
        <v>6276</v>
      </c>
      <c r="G3946" s="385">
        <v>46155</v>
      </c>
      <c r="H3946" s="367" t="s">
        <v>9</v>
      </c>
      <c r="I3946" s="368" t="str">
        <f>VLOOKUP(H3946,'[4]Source Codes'!A$2:B$115,2,FALSE)</f>
        <v>On Line Journal Entries</v>
      </c>
      <c r="J3946" s="412">
        <v>2977949.99</v>
      </c>
      <c r="K3946" s="385">
        <v>46160</v>
      </c>
      <c r="L3946" s="369" t="s">
        <v>347</v>
      </c>
      <c r="M3946" s="390">
        <v>46160.87159722222</v>
      </c>
      <c r="N3946" s="366" t="s">
        <v>359</v>
      </c>
      <c r="O3946" s="367" t="s">
        <v>364</v>
      </c>
      <c r="P3946" s="368" t="str">
        <f t="shared" si="171"/>
        <v>Revenue</v>
      </c>
      <c r="Q3946" s="366" t="s">
        <v>2232</v>
      </c>
      <c r="R3946" s="366" t="s">
        <v>2232</v>
      </c>
      <c r="S3946" s="366">
        <v>755924</v>
      </c>
    </row>
    <row r="3947" spans="1:19" ht="30" hidden="1" outlineLevel="1">
      <c r="B3947" s="384">
        <v>2026</v>
      </c>
      <c r="C3947" s="384">
        <v>11</v>
      </c>
      <c r="D3947" s="367" t="s">
        <v>5</v>
      </c>
      <c r="E3947" s="367" t="s">
        <v>6</v>
      </c>
      <c r="F3947" s="389" t="s">
        <v>6277</v>
      </c>
      <c r="G3947" s="385">
        <v>46157</v>
      </c>
      <c r="H3947" s="367" t="s">
        <v>9</v>
      </c>
      <c r="I3947" s="368" t="str">
        <f>VLOOKUP(H3947,'[4]Source Codes'!A$2:B$115,2,FALSE)</f>
        <v>On Line Journal Entries</v>
      </c>
      <c r="J3947" s="412">
        <v>4408549</v>
      </c>
      <c r="K3947" s="385">
        <v>46160</v>
      </c>
      <c r="L3947" s="369" t="s">
        <v>6278</v>
      </c>
      <c r="M3947" s="390">
        <v>46160.87159722222</v>
      </c>
      <c r="N3947" s="366" t="s">
        <v>359</v>
      </c>
      <c r="O3947" s="367" t="s">
        <v>369</v>
      </c>
      <c r="P3947" s="368" t="str">
        <f t="shared" si="171"/>
        <v>Revenue</v>
      </c>
      <c r="Q3947" s="366" t="s">
        <v>2268</v>
      </c>
      <c r="R3947" s="365">
        <v>46143</v>
      </c>
      <c r="S3947" s="366" t="s">
        <v>6287</v>
      </c>
    </row>
    <row r="3948" spans="1:19" ht="15" hidden="1" outlineLevel="1">
      <c r="B3948" s="384">
        <v>2026</v>
      </c>
      <c r="C3948" s="384">
        <v>11</v>
      </c>
      <c r="D3948" s="367" t="s">
        <v>5</v>
      </c>
      <c r="E3948" s="367" t="s">
        <v>6</v>
      </c>
      <c r="F3948" s="389" t="s">
        <v>6279</v>
      </c>
      <c r="G3948" s="385">
        <v>46143</v>
      </c>
      <c r="H3948" s="367" t="s">
        <v>13</v>
      </c>
      <c r="I3948" s="368" t="str">
        <f>VLOOKUP(H3948,'[4]Source Codes'!A$2:B$115,2,FALSE)</f>
        <v>C-IV Voucher/Payments/EBT</v>
      </c>
      <c r="J3948" s="412">
        <v>-15909859.59</v>
      </c>
      <c r="K3948" s="385">
        <v>46160</v>
      </c>
      <c r="L3948" s="369" t="s">
        <v>6283</v>
      </c>
      <c r="M3948" s="390">
        <v>46160.871620370373</v>
      </c>
      <c r="N3948" s="366" t="s">
        <v>356</v>
      </c>
      <c r="O3948" s="367" t="s">
        <v>364</v>
      </c>
      <c r="P3948" s="368" t="str">
        <f t="shared" si="171"/>
        <v>Expense</v>
      </c>
      <c r="Q3948" s="366" t="s">
        <v>2204</v>
      </c>
      <c r="R3948" s="393">
        <v>46113</v>
      </c>
      <c r="S3948" s="366">
        <v>530480</v>
      </c>
    </row>
    <row r="3949" spans="1:19" ht="12.75" hidden="1" customHeight="1" outlineLevel="1">
      <c r="B3949" s="384">
        <v>2026</v>
      </c>
      <c r="C3949" s="384">
        <v>11</v>
      </c>
      <c r="D3949" s="367" t="s">
        <v>5</v>
      </c>
      <c r="E3949" s="367" t="s">
        <v>6</v>
      </c>
      <c r="F3949" s="389" t="s">
        <v>6280</v>
      </c>
      <c r="G3949" s="385">
        <v>46143</v>
      </c>
      <c r="H3949" s="367" t="s">
        <v>13</v>
      </c>
      <c r="I3949" s="368" t="str">
        <f>VLOOKUP(H3949,'[4]Source Codes'!A$2:B$115,2,FALSE)</f>
        <v>C-IV Voucher/Payments/EBT</v>
      </c>
      <c r="J3949" s="412">
        <v>-12212877.800000001</v>
      </c>
      <c r="K3949" s="385">
        <v>46160</v>
      </c>
      <c r="L3949" s="369" t="s">
        <v>6284</v>
      </c>
      <c r="M3949" s="390">
        <v>46160.871620370373</v>
      </c>
      <c r="N3949" s="366" t="s">
        <v>356</v>
      </c>
      <c r="O3949" s="367" t="s">
        <v>364</v>
      </c>
      <c r="P3949" s="368" t="str">
        <f t="shared" si="171"/>
        <v>Expense</v>
      </c>
      <c r="Q3949" s="366" t="s">
        <v>2204</v>
      </c>
      <c r="R3949" s="393">
        <v>46113</v>
      </c>
      <c r="S3949" s="366">
        <v>530480</v>
      </c>
    </row>
    <row r="3950" spans="1:19" ht="12.75" hidden="1" customHeight="1" outlineLevel="1">
      <c r="B3950" s="384">
        <v>2026</v>
      </c>
      <c r="C3950" s="384">
        <v>11</v>
      </c>
      <c r="D3950" s="367" t="s">
        <v>5</v>
      </c>
      <c r="E3950" s="367" t="s">
        <v>6</v>
      </c>
      <c r="F3950" s="389" t="s">
        <v>6281</v>
      </c>
      <c r="G3950" s="385">
        <v>46143</v>
      </c>
      <c r="H3950" s="367" t="s">
        <v>13</v>
      </c>
      <c r="I3950" s="368" t="str">
        <f>VLOOKUP(H3950,'[4]Source Codes'!A$2:B$115,2,FALSE)</f>
        <v>C-IV Voucher/Payments/EBT</v>
      </c>
      <c r="J3950" s="412">
        <v>-9915860.9399999995</v>
      </c>
      <c r="K3950" s="385">
        <v>46160</v>
      </c>
      <c r="L3950" s="369" t="s">
        <v>6285</v>
      </c>
      <c r="M3950" s="390">
        <v>46160.871620370373</v>
      </c>
      <c r="N3950" s="366" t="s">
        <v>356</v>
      </c>
      <c r="O3950" s="367" t="s">
        <v>364</v>
      </c>
      <c r="P3950" s="368" t="str">
        <f t="shared" si="171"/>
        <v>Expense</v>
      </c>
      <c r="Q3950" s="366" t="s">
        <v>2204</v>
      </c>
      <c r="R3950" s="393">
        <v>46143</v>
      </c>
      <c r="S3950" s="366">
        <v>530480</v>
      </c>
    </row>
    <row r="3951" spans="1:19" ht="12.75" hidden="1" customHeight="1" outlineLevel="1">
      <c r="B3951" s="384">
        <v>2026</v>
      </c>
      <c r="C3951" s="384">
        <v>11</v>
      </c>
      <c r="D3951" s="367" t="s">
        <v>5</v>
      </c>
      <c r="E3951" s="367" t="s">
        <v>6</v>
      </c>
      <c r="F3951" s="389" t="s">
        <v>6282</v>
      </c>
      <c r="G3951" s="385">
        <v>46143</v>
      </c>
      <c r="H3951" s="367" t="s">
        <v>9</v>
      </c>
      <c r="I3951" s="368" t="str">
        <f>VLOOKUP(H3951,'[4]Source Codes'!A$2:B$115,2,FALSE)</f>
        <v>On Line Journal Entries</v>
      </c>
      <c r="J3951" s="412">
        <v>-5535427.9900000002</v>
      </c>
      <c r="K3951" s="385">
        <v>46160</v>
      </c>
      <c r="L3951" s="369" t="s">
        <v>6286</v>
      </c>
      <c r="M3951" s="390">
        <v>46160.87159722222</v>
      </c>
      <c r="N3951" s="366" t="s">
        <v>356</v>
      </c>
      <c r="O3951" s="367" t="s">
        <v>374</v>
      </c>
      <c r="P3951" s="368" t="str">
        <f t="shared" si="171"/>
        <v>Expense</v>
      </c>
      <c r="Q3951" s="366" t="s">
        <v>2202</v>
      </c>
      <c r="R3951" s="366" t="s">
        <v>6288</v>
      </c>
      <c r="S3951" s="366">
        <v>525840</v>
      </c>
    </row>
    <row r="3952" spans="1:19" ht="12.75" customHeight="1" collapsed="1">
      <c r="J3952" s="413">
        <f>SUM(J3945:J3951)</f>
        <v>-34257985.600000001</v>
      </c>
    </row>
    <row r="3954" spans="1:20" ht="12.75" customHeight="1">
      <c r="A3954" s="378" t="s">
        <v>6290</v>
      </c>
    </row>
    <row r="3955" spans="1:20" ht="30" hidden="1" outlineLevel="1">
      <c r="B3955" s="384">
        <v>2026</v>
      </c>
      <c r="C3955" s="384">
        <v>11</v>
      </c>
      <c r="D3955" s="367" t="s">
        <v>5</v>
      </c>
      <c r="E3955" s="367" t="s">
        <v>6</v>
      </c>
      <c r="F3955" s="389" t="s">
        <v>6291</v>
      </c>
      <c r="G3955" s="385">
        <v>46163</v>
      </c>
      <c r="H3955" s="367" t="s">
        <v>14</v>
      </c>
      <c r="I3955" s="368" t="str">
        <f>VLOOKUP(H3955,'[4]Source Codes'!A$2:B$115,2,FALSE)</f>
        <v>AP Warrant Issuance</v>
      </c>
      <c r="J3955" s="412">
        <v>-1029239.33</v>
      </c>
      <c r="K3955" s="385">
        <v>46161</v>
      </c>
      <c r="L3955" s="369" t="s">
        <v>6310</v>
      </c>
      <c r="M3955" s="390">
        <v>46161.757881944446</v>
      </c>
      <c r="N3955" s="366" t="s">
        <v>356</v>
      </c>
      <c r="O3955" s="367" t="s">
        <v>368</v>
      </c>
      <c r="P3955" s="368" t="str">
        <f t="shared" ref="P3955:P3964" si="172">IF(J3955&gt;0,"Revenue",IF(J3955&lt;0,"Expense"))</f>
        <v>Expense</v>
      </c>
      <c r="Q3955" s="366" t="s">
        <v>5835</v>
      </c>
      <c r="R3955" s="366" t="s">
        <v>5835</v>
      </c>
      <c r="S3955" s="366" t="s">
        <v>203</v>
      </c>
    </row>
    <row r="3956" spans="1:20" ht="12.75" hidden="1" customHeight="1" outlineLevel="1">
      <c r="B3956" s="384">
        <v>2026</v>
      </c>
      <c r="C3956" s="384">
        <v>11</v>
      </c>
      <c r="D3956" s="367" t="s">
        <v>5</v>
      </c>
      <c r="E3956" s="367" t="s">
        <v>6</v>
      </c>
      <c r="F3956" s="389" t="s">
        <v>6292</v>
      </c>
      <c r="G3956" s="385">
        <v>46155</v>
      </c>
      <c r="H3956" s="367" t="s">
        <v>9</v>
      </c>
      <c r="I3956" s="368" t="str">
        <f>VLOOKUP(H3956,'[4]Source Codes'!A$2:B$115,2,FALSE)</f>
        <v>On Line Journal Entries</v>
      </c>
      <c r="J3956" s="412">
        <v>13334758</v>
      </c>
      <c r="K3956" s="385">
        <v>46161</v>
      </c>
      <c r="L3956" s="369" t="s">
        <v>6301</v>
      </c>
      <c r="M3956" s="390">
        <v>46161.670902777776</v>
      </c>
      <c r="N3956" s="366" t="s">
        <v>361</v>
      </c>
      <c r="O3956" s="367" t="s">
        <v>368</v>
      </c>
      <c r="P3956" s="368" t="str">
        <f t="shared" si="172"/>
        <v>Revenue</v>
      </c>
      <c r="Q3956" s="366" t="s">
        <v>2869</v>
      </c>
      <c r="R3956" s="366" t="s">
        <v>6311</v>
      </c>
      <c r="S3956" s="366">
        <v>755926</v>
      </c>
    </row>
    <row r="3957" spans="1:20" ht="30" hidden="1" outlineLevel="1">
      <c r="B3957" s="384">
        <v>2026</v>
      </c>
      <c r="C3957" s="384">
        <v>11</v>
      </c>
      <c r="D3957" s="367" t="s">
        <v>5</v>
      </c>
      <c r="E3957" s="367" t="s">
        <v>6</v>
      </c>
      <c r="F3957" s="389" t="s">
        <v>6293</v>
      </c>
      <c r="G3957" s="385">
        <v>46154</v>
      </c>
      <c r="H3957" s="367" t="s">
        <v>16</v>
      </c>
      <c r="I3957" s="368" t="str">
        <f>VLOOKUP(H3957,'[4]Source Codes'!A$2:B$115,2,FALSE)</f>
        <v>Property Tax Interface</v>
      </c>
      <c r="J3957" s="412">
        <v>4471336.6100000003</v>
      </c>
      <c r="K3957" s="385">
        <v>46161</v>
      </c>
      <c r="L3957" s="369" t="s">
        <v>6302</v>
      </c>
      <c r="M3957" s="390">
        <v>46161.572314814817</v>
      </c>
      <c r="N3957" s="366" t="s">
        <v>2185</v>
      </c>
      <c r="O3957" s="367" t="s">
        <v>384</v>
      </c>
      <c r="P3957" s="368" t="str">
        <f t="shared" si="172"/>
        <v>Revenue</v>
      </c>
      <c r="Q3957" s="366" t="s">
        <v>2946</v>
      </c>
      <c r="R3957" s="366" t="s">
        <v>6317</v>
      </c>
      <c r="S3957" s="366" t="s">
        <v>6312</v>
      </c>
      <c r="T3957" s="366"/>
    </row>
    <row r="3958" spans="1:20" ht="60" hidden="1" outlineLevel="1">
      <c r="B3958" s="384">
        <v>2026</v>
      </c>
      <c r="C3958" s="384">
        <v>11</v>
      </c>
      <c r="D3958" s="367" t="s">
        <v>5</v>
      </c>
      <c r="E3958" s="367" t="s">
        <v>6</v>
      </c>
      <c r="F3958" s="389" t="s">
        <v>6294</v>
      </c>
      <c r="G3958" s="385">
        <v>46148</v>
      </c>
      <c r="H3958" s="367" t="s">
        <v>9</v>
      </c>
      <c r="I3958" s="368" t="str">
        <f>VLOOKUP(H3958,'[4]Source Codes'!A$2:B$115,2,FALSE)</f>
        <v>On Line Journal Entries</v>
      </c>
      <c r="J3958" s="412">
        <v>1727775.47</v>
      </c>
      <c r="K3958" s="385">
        <v>46161</v>
      </c>
      <c r="L3958" s="369" t="s">
        <v>6303</v>
      </c>
      <c r="M3958" s="390">
        <v>46161.871423611112</v>
      </c>
      <c r="N3958" s="366" t="s">
        <v>2185</v>
      </c>
      <c r="O3958" s="367" t="s">
        <v>358</v>
      </c>
      <c r="P3958" s="368" t="str">
        <f t="shared" si="172"/>
        <v>Revenue</v>
      </c>
      <c r="Q3958" s="366" t="s">
        <v>4886</v>
      </c>
      <c r="R3958" s="366" t="s">
        <v>4887</v>
      </c>
      <c r="S3958" s="366">
        <v>778190</v>
      </c>
    </row>
    <row r="3959" spans="1:20" ht="15" hidden="1" outlineLevel="1">
      <c r="B3959" s="384">
        <v>2026</v>
      </c>
      <c r="C3959" s="384">
        <v>11</v>
      </c>
      <c r="D3959" s="367" t="s">
        <v>5</v>
      </c>
      <c r="E3959" s="367" t="s">
        <v>6</v>
      </c>
      <c r="F3959" s="389" t="s">
        <v>6295</v>
      </c>
      <c r="G3959" s="385">
        <v>46146</v>
      </c>
      <c r="H3959" s="367" t="s">
        <v>337</v>
      </c>
      <c r="I3959" s="368" t="str">
        <f>VLOOKUP(H3959,'[4]Source Codes'!A$2:B$115,2,FALSE)</f>
        <v>Facilities Mngmnt Intfc Jrnls</v>
      </c>
      <c r="J3959" s="412">
        <v>-1174682.03</v>
      </c>
      <c r="K3959" s="385">
        <v>46161</v>
      </c>
      <c r="L3959" s="369" t="s">
        <v>6304</v>
      </c>
      <c r="M3959" s="390">
        <v>46161.871574074074</v>
      </c>
      <c r="N3959" s="366" t="s">
        <v>356</v>
      </c>
      <c r="O3959" s="367" t="s">
        <v>367</v>
      </c>
      <c r="P3959" s="368" t="str">
        <f t="shared" si="172"/>
        <v>Expense</v>
      </c>
      <c r="Q3959" s="366" t="s">
        <v>2337</v>
      </c>
      <c r="R3959" s="366" t="s">
        <v>5984</v>
      </c>
      <c r="S3959" s="366">
        <v>522365</v>
      </c>
    </row>
    <row r="3960" spans="1:20" ht="30" hidden="1" outlineLevel="1">
      <c r="B3960" s="384">
        <v>2026</v>
      </c>
      <c r="C3960" s="384">
        <v>11</v>
      </c>
      <c r="D3960" s="367" t="s">
        <v>5</v>
      </c>
      <c r="E3960" s="367" t="s">
        <v>6</v>
      </c>
      <c r="F3960" s="389" t="s">
        <v>6296</v>
      </c>
      <c r="G3960" s="385">
        <v>46143</v>
      </c>
      <c r="H3960" s="367" t="s">
        <v>9</v>
      </c>
      <c r="I3960" s="368" t="str">
        <f>VLOOKUP(H3960,'[4]Source Codes'!A$2:B$115,2,FALSE)</f>
        <v>On Line Journal Entries</v>
      </c>
      <c r="J3960" s="412">
        <v>-1712372.49</v>
      </c>
      <c r="K3960" s="385">
        <v>46161</v>
      </c>
      <c r="L3960" s="369" t="s">
        <v>6305</v>
      </c>
      <c r="M3960" s="390">
        <v>46161.871423611112</v>
      </c>
      <c r="N3960" s="366" t="s">
        <v>356</v>
      </c>
      <c r="O3960" s="367" t="s">
        <v>373</v>
      </c>
      <c r="P3960" s="368" t="str">
        <f t="shared" si="172"/>
        <v>Expense</v>
      </c>
      <c r="Q3960" s="366" t="s">
        <v>2476</v>
      </c>
      <c r="R3960" s="366" t="s">
        <v>6313</v>
      </c>
      <c r="S3960" s="366">
        <v>520945</v>
      </c>
    </row>
    <row r="3961" spans="1:20" ht="12.75" hidden="1" customHeight="1" outlineLevel="1">
      <c r="B3961" s="384">
        <v>2026</v>
      </c>
      <c r="C3961" s="384">
        <v>11</v>
      </c>
      <c r="D3961" s="367" t="s">
        <v>5</v>
      </c>
      <c r="E3961" s="367" t="s">
        <v>6</v>
      </c>
      <c r="F3961" s="389" t="s">
        <v>6297</v>
      </c>
      <c r="G3961" s="385">
        <v>46146</v>
      </c>
      <c r="H3961" s="367" t="s">
        <v>337</v>
      </c>
      <c r="I3961" s="368" t="str">
        <f>VLOOKUP(H3961,'[4]Source Codes'!A$2:B$115,2,FALSE)</f>
        <v>Facilities Mngmnt Intfc Jrnls</v>
      </c>
      <c r="J3961" s="412">
        <v>-2706598.43</v>
      </c>
      <c r="K3961" s="385">
        <v>46161</v>
      </c>
      <c r="L3961" s="369" t="s">
        <v>6306</v>
      </c>
      <c r="M3961" s="390">
        <v>46161.871574074074</v>
      </c>
      <c r="N3961" s="366" t="s">
        <v>356</v>
      </c>
      <c r="O3961" s="367" t="s">
        <v>367</v>
      </c>
      <c r="P3961" s="368" t="str">
        <f t="shared" si="172"/>
        <v>Expense</v>
      </c>
      <c r="Q3961" s="366" t="s">
        <v>2337</v>
      </c>
      <c r="R3961" s="366" t="s">
        <v>6314</v>
      </c>
      <c r="S3961" s="366">
        <v>522385</v>
      </c>
    </row>
    <row r="3962" spans="1:20" ht="30" hidden="1" outlineLevel="1">
      <c r="B3962" s="384">
        <v>2026</v>
      </c>
      <c r="C3962" s="384">
        <v>11</v>
      </c>
      <c r="D3962" s="367" t="s">
        <v>5</v>
      </c>
      <c r="E3962" s="367" t="s">
        <v>6</v>
      </c>
      <c r="F3962" s="389" t="s">
        <v>6298</v>
      </c>
      <c r="G3962" s="385">
        <v>46143</v>
      </c>
      <c r="H3962" s="367" t="s">
        <v>9</v>
      </c>
      <c r="I3962" s="368" t="str">
        <f>VLOOKUP(H3962,'[4]Source Codes'!A$2:B$115,2,FALSE)</f>
        <v>On Line Journal Entries</v>
      </c>
      <c r="J3962" s="412">
        <v>-4444115.4000000004</v>
      </c>
      <c r="K3962" s="385">
        <v>46161</v>
      </c>
      <c r="L3962" s="369" t="s">
        <v>6307</v>
      </c>
      <c r="M3962" s="390">
        <v>46161.461562500001</v>
      </c>
      <c r="N3962" s="366" t="s">
        <v>356</v>
      </c>
      <c r="O3962" s="367" t="s">
        <v>373</v>
      </c>
      <c r="P3962" s="368" t="str">
        <f t="shared" si="172"/>
        <v>Expense</v>
      </c>
      <c r="Q3962" s="366" t="s">
        <v>2517</v>
      </c>
      <c r="R3962" s="366" t="s">
        <v>6315</v>
      </c>
      <c r="S3962" s="366">
        <v>517000</v>
      </c>
    </row>
    <row r="3963" spans="1:20" ht="30" hidden="1" outlineLevel="1">
      <c r="B3963" s="384">
        <v>2026</v>
      </c>
      <c r="C3963" s="384">
        <v>11</v>
      </c>
      <c r="D3963" s="367" t="s">
        <v>5</v>
      </c>
      <c r="E3963" s="367" t="s">
        <v>6</v>
      </c>
      <c r="F3963" s="389" t="s">
        <v>6299</v>
      </c>
      <c r="G3963" s="385">
        <v>46143</v>
      </c>
      <c r="H3963" s="367" t="s">
        <v>9</v>
      </c>
      <c r="I3963" s="368" t="str">
        <f>VLOOKUP(H3963,'[4]Source Codes'!A$2:B$115,2,FALSE)</f>
        <v>On Line Journal Entries</v>
      </c>
      <c r="J3963" s="412">
        <v>-7576523.54</v>
      </c>
      <c r="K3963" s="385">
        <v>46161</v>
      </c>
      <c r="L3963" s="369" t="s">
        <v>6308</v>
      </c>
      <c r="M3963" s="390">
        <v>46161.871423611112</v>
      </c>
      <c r="N3963" s="366" t="s">
        <v>356</v>
      </c>
      <c r="O3963" s="367" t="s">
        <v>373</v>
      </c>
      <c r="P3963" s="368" t="str">
        <f t="shared" si="172"/>
        <v>Expense</v>
      </c>
      <c r="Q3963" s="366" t="s">
        <v>2569</v>
      </c>
      <c r="R3963" s="366" t="s">
        <v>6316</v>
      </c>
      <c r="S3963" s="366">
        <v>520930</v>
      </c>
    </row>
    <row r="3964" spans="1:20" ht="45" hidden="1" outlineLevel="1">
      <c r="B3964" s="384">
        <v>2026</v>
      </c>
      <c r="C3964" s="384">
        <v>11</v>
      </c>
      <c r="D3964" s="367" t="s">
        <v>5</v>
      </c>
      <c r="E3964" s="367" t="s">
        <v>6</v>
      </c>
      <c r="F3964" s="389" t="s">
        <v>6300</v>
      </c>
      <c r="G3964" s="385">
        <v>46150</v>
      </c>
      <c r="H3964" s="367" t="s">
        <v>9</v>
      </c>
      <c r="I3964" s="368" t="str">
        <f>VLOOKUP(H3964,'[4]Source Codes'!A$2:B$115,2,FALSE)</f>
        <v>On Line Journal Entries</v>
      </c>
      <c r="J3964" s="412">
        <v>-11331689.130000001</v>
      </c>
      <c r="K3964" s="385">
        <v>46161</v>
      </c>
      <c r="L3964" s="369" t="s">
        <v>6309</v>
      </c>
      <c r="M3964" s="390">
        <v>46161.871423611112</v>
      </c>
      <c r="N3964" s="368" t="s">
        <v>387</v>
      </c>
      <c r="O3964" s="368" t="s">
        <v>358</v>
      </c>
      <c r="P3964" s="368" t="str">
        <f t="shared" si="172"/>
        <v>Expense</v>
      </c>
      <c r="Q3964" s="366" t="s">
        <v>3408</v>
      </c>
      <c r="R3964" s="365" t="s">
        <v>3408</v>
      </c>
      <c r="S3964" s="366" t="s">
        <v>3407</v>
      </c>
    </row>
    <row r="3965" spans="1:20" ht="12.75" customHeight="1" collapsed="1">
      <c r="J3965" s="413">
        <f>SUM(J3955:J3964)</f>
        <v>-10441350.270000003</v>
      </c>
    </row>
    <row r="3967" spans="1:20" ht="12.75" customHeight="1">
      <c r="A3967" s="378" t="s">
        <v>6318</v>
      </c>
    </row>
    <row r="3968" spans="1:20" ht="45" hidden="1" outlineLevel="1">
      <c r="B3968" s="384">
        <v>2026</v>
      </c>
      <c r="C3968" s="384">
        <v>11</v>
      </c>
      <c r="D3968" s="367" t="s">
        <v>5</v>
      </c>
      <c r="E3968" s="367" t="s">
        <v>6</v>
      </c>
      <c r="F3968" s="389" t="s">
        <v>6319</v>
      </c>
      <c r="G3968" s="385">
        <v>46162</v>
      </c>
      <c r="H3968" s="367" t="s">
        <v>14</v>
      </c>
      <c r="I3968" s="368" t="str">
        <f>VLOOKUP(H3968,'[4]Source Codes'!A$2:B$115,2,FALSE)</f>
        <v>AP Warrant Issuance</v>
      </c>
      <c r="J3968" s="412">
        <v>-2594156.7999999998</v>
      </c>
      <c r="K3968" s="385">
        <v>46162</v>
      </c>
      <c r="L3968" s="369" t="s">
        <v>6330</v>
      </c>
      <c r="M3968" s="390">
        <v>46162.758414351854</v>
      </c>
      <c r="N3968" s="366" t="s">
        <v>356</v>
      </c>
      <c r="O3968" s="367" t="s">
        <v>368</v>
      </c>
      <c r="P3968" s="368" t="str">
        <f t="shared" ref="P3968:P3974" si="173">IF(J3968&gt;0,"Revenue",IF(J3968&lt;0,"Expense"))</f>
        <v>Expense</v>
      </c>
      <c r="Q3968" s="366" t="s">
        <v>5835</v>
      </c>
      <c r="R3968" s="366" t="s">
        <v>5835</v>
      </c>
      <c r="S3968" s="366">
        <v>530280</v>
      </c>
    </row>
    <row r="3969" spans="1:19" ht="30" hidden="1" outlineLevel="1">
      <c r="B3969" s="384">
        <v>2026</v>
      </c>
      <c r="C3969" s="384">
        <v>11</v>
      </c>
      <c r="D3969" s="367" t="s">
        <v>5</v>
      </c>
      <c r="E3969" s="367" t="s">
        <v>6</v>
      </c>
      <c r="F3969" s="389" t="s">
        <v>6320</v>
      </c>
      <c r="G3969" s="385">
        <v>46164</v>
      </c>
      <c r="H3969" s="367" t="s">
        <v>14</v>
      </c>
      <c r="I3969" s="368" t="str">
        <f>VLOOKUP(H3969,'[4]Source Codes'!A$2:B$115,2,FALSE)</f>
        <v>AP Warrant Issuance</v>
      </c>
      <c r="J3969" s="412">
        <v>-1427826.78</v>
      </c>
      <c r="K3969" s="385">
        <v>46162</v>
      </c>
      <c r="L3969" s="369" t="s">
        <v>6331</v>
      </c>
      <c r="M3969" s="390">
        <v>46162.758414351854</v>
      </c>
      <c r="N3969" s="366" t="s">
        <v>356</v>
      </c>
      <c r="O3969" s="367" t="s">
        <v>368</v>
      </c>
      <c r="P3969" s="368" t="str">
        <f t="shared" si="173"/>
        <v>Expense</v>
      </c>
      <c r="Q3969" s="366" t="s">
        <v>5835</v>
      </c>
      <c r="R3969" s="366" t="s">
        <v>5835</v>
      </c>
      <c r="S3969" s="366" t="s">
        <v>203</v>
      </c>
    </row>
    <row r="3970" spans="1:19" ht="105" hidden="1" outlineLevel="1">
      <c r="B3970" s="384">
        <v>2026</v>
      </c>
      <c r="C3970" s="384">
        <v>11</v>
      </c>
      <c r="D3970" s="367" t="s">
        <v>5</v>
      </c>
      <c r="E3970" s="367" t="s">
        <v>6</v>
      </c>
      <c r="F3970" s="389" t="s">
        <v>6321</v>
      </c>
      <c r="G3970" s="385">
        <v>46162</v>
      </c>
      <c r="H3970" s="367" t="s">
        <v>11</v>
      </c>
      <c r="I3970" s="368" t="str">
        <f>VLOOKUP(H3970,'[4]Source Codes'!A$2:B$115,2,FALSE)</f>
        <v>AR Payments</v>
      </c>
      <c r="J3970" s="412">
        <v>4090807.66</v>
      </c>
      <c r="K3970" s="385">
        <v>46162</v>
      </c>
      <c r="L3970" s="369" t="s">
        <v>6332</v>
      </c>
      <c r="M3970" s="390">
        <v>46162.752060185187</v>
      </c>
      <c r="N3970" s="366" t="s">
        <v>359</v>
      </c>
      <c r="O3970" s="367" t="s">
        <v>357</v>
      </c>
      <c r="P3970" s="368" t="str">
        <f t="shared" si="173"/>
        <v>Revenue</v>
      </c>
      <c r="Q3970" s="366" t="s">
        <v>2157</v>
      </c>
      <c r="R3970" s="366" t="s">
        <v>2157</v>
      </c>
      <c r="S3970" s="366" t="s">
        <v>3863</v>
      </c>
    </row>
    <row r="3971" spans="1:19" ht="75" hidden="1" outlineLevel="1">
      <c r="B3971" s="384">
        <v>2026</v>
      </c>
      <c r="C3971" s="384">
        <v>11</v>
      </c>
      <c r="D3971" s="367" t="s">
        <v>5</v>
      </c>
      <c r="E3971" s="367" t="s">
        <v>6</v>
      </c>
      <c r="F3971" s="389" t="s">
        <v>6322</v>
      </c>
      <c r="G3971" s="385">
        <v>46156</v>
      </c>
      <c r="H3971" s="367" t="s">
        <v>9</v>
      </c>
      <c r="I3971" s="368" t="str">
        <f>VLOOKUP(H3971,'[4]Source Codes'!A$2:B$115,2,FALSE)</f>
        <v>On Line Journal Entries</v>
      </c>
      <c r="J3971" s="412">
        <v>12146947</v>
      </c>
      <c r="K3971" s="385">
        <v>46162</v>
      </c>
      <c r="L3971" s="369" t="s">
        <v>6325</v>
      </c>
      <c r="M3971" s="390">
        <v>46162.870034722226</v>
      </c>
      <c r="N3971" s="368" t="s">
        <v>6336</v>
      </c>
      <c r="O3971" s="368" t="s">
        <v>358</v>
      </c>
      <c r="P3971" s="368" t="str">
        <f t="shared" si="173"/>
        <v>Revenue</v>
      </c>
      <c r="Q3971" s="366" t="s">
        <v>6337</v>
      </c>
      <c r="R3971" s="365" t="s">
        <v>6333</v>
      </c>
      <c r="S3971" s="366">
        <v>790600</v>
      </c>
    </row>
    <row r="3972" spans="1:19" ht="30" hidden="1" outlineLevel="1">
      <c r="B3972" s="384">
        <v>2026</v>
      </c>
      <c r="C3972" s="384">
        <v>11</v>
      </c>
      <c r="D3972" s="367" t="s">
        <v>5</v>
      </c>
      <c r="E3972" s="367" t="s">
        <v>6</v>
      </c>
      <c r="F3972" s="389" t="s">
        <v>6323</v>
      </c>
      <c r="G3972" s="385">
        <v>46156</v>
      </c>
      <c r="H3972" s="367" t="s">
        <v>9</v>
      </c>
      <c r="I3972" s="368" t="str">
        <f>VLOOKUP(H3972,'[4]Source Codes'!A$2:B$115,2,FALSE)</f>
        <v>On Line Journal Entries</v>
      </c>
      <c r="J3972" s="412">
        <v>2982775.72</v>
      </c>
      <c r="K3972" s="385">
        <v>46162</v>
      </c>
      <c r="L3972" s="369" t="s">
        <v>6326</v>
      </c>
      <c r="M3972" s="390">
        <v>46162.870034722226</v>
      </c>
      <c r="N3972" s="366" t="s">
        <v>361</v>
      </c>
      <c r="O3972" s="367" t="s">
        <v>510</v>
      </c>
      <c r="P3972" s="368" t="str">
        <f t="shared" si="173"/>
        <v>Revenue</v>
      </c>
      <c r="Q3972" s="366" t="s">
        <v>2122</v>
      </c>
      <c r="R3972" s="366" t="s">
        <v>6334</v>
      </c>
      <c r="S3972" s="366">
        <v>781100</v>
      </c>
    </row>
    <row r="3973" spans="1:19" ht="60" hidden="1" outlineLevel="1">
      <c r="B3973" s="384">
        <v>2026</v>
      </c>
      <c r="C3973" s="384">
        <v>11</v>
      </c>
      <c r="D3973" s="367" t="s">
        <v>5</v>
      </c>
      <c r="E3973" s="367" t="s">
        <v>6</v>
      </c>
      <c r="F3973" s="389" t="s">
        <v>6324</v>
      </c>
      <c r="G3973" s="385">
        <v>46161</v>
      </c>
      <c r="H3973" s="367" t="s">
        <v>9</v>
      </c>
      <c r="I3973" s="368" t="str">
        <f>VLOOKUP(H3973,'[4]Source Codes'!A$2:B$115,2,FALSE)</f>
        <v>On Line Journal Entries</v>
      </c>
      <c r="J3973" s="412">
        <v>2714088.33</v>
      </c>
      <c r="K3973" s="385">
        <v>46162</v>
      </c>
      <c r="L3973" s="369" t="s">
        <v>6327</v>
      </c>
      <c r="M3973" s="390">
        <v>46162.870034722226</v>
      </c>
      <c r="N3973" s="366" t="s">
        <v>361</v>
      </c>
      <c r="O3973" s="367" t="s">
        <v>358</v>
      </c>
      <c r="P3973" s="368" t="str">
        <f t="shared" si="173"/>
        <v>Revenue</v>
      </c>
      <c r="Q3973" s="366" t="s">
        <v>4886</v>
      </c>
      <c r="R3973" s="366" t="s">
        <v>4887</v>
      </c>
      <c r="S3973" s="366">
        <v>778190</v>
      </c>
    </row>
    <row r="3974" spans="1:19" ht="15" hidden="1" outlineLevel="1">
      <c r="B3974" s="384">
        <v>2026</v>
      </c>
      <c r="C3974" s="384">
        <v>11</v>
      </c>
      <c r="D3974" s="367" t="s">
        <v>5</v>
      </c>
      <c r="E3974" s="367" t="s">
        <v>6</v>
      </c>
      <c r="F3974" s="389" t="s">
        <v>6328</v>
      </c>
      <c r="G3974" s="385">
        <v>46156</v>
      </c>
      <c r="H3974" s="367" t="s">
        <v>8</v>
      </c>
      <c r="I3974" s="368" t="str">
        <f>VLOOKUP(H3974,'[4]Source Codes'!A$2:B$115,2,FALSE)</f>
        <v>Prch,Cntrl Mail,Flt,Prntg,Sply</v>
      </c>
      <c r="J3974" s="412">
        <v>-2236068.88</v>
      </c>
      <c r="K3974" s="385">
        <v>46162</v>
      </c>
      <c r="L3974" s="369" t="s">
        <v>6329</v>
      </c>
      <c r="M3974" s="390">
        <v>46162.697326388887</v>
      </c>
      <c r="N3974" s="366" t="s">
        <v>356</v>
      </c>
      <c r="O3974" s="367" t="s">
        <v>382</v>
      </c>
      <c r="P3974" s="368" t="str">
        <f t="shared" si="173"/>
        <v>Expense</v>
      </c>
      <c r="Q3974" s="366" t="s">
        <v>2328</v>
      </c>
      <c r="R3974" s="366" t="s">
        <v>6335</v>
      </c>
      <c r="S3974" s="366" t="s">
        <v>2535</v>
      </c>
    </row>
    <row r="3975" spans="1:19" ht="12.75" customHeight="1" collapsed="1">
      <c r="J3975" s="413">
        <f>SUM(J3968:J3974)</f>
        <v>15676566.250000004</v>
      </c>
    </row>
    <row r="3977" spans="1:19" ht="12.75" customHeight="1">
      <c r="A3977" s="378" t="s">
        <v>6338</v>
      </c>
    </row>
    <row r="3978" spans="1:19" ht="45" hidden="1" outlineLevel="1">
      <c r="B3978" s="384">
        <v>2026</v>
      </c>
      <c r="C3978" s="384">
        <v>11</v>
      </c>
      <c r="D3978" s="367" t="s">
        <v>5</v>
      </c>
      <c r="E3978" s="367" t="s">
        <v>6</v>
      </c>
      <c r="F3978" s="389" t="s">
        <v>6339</v>
      </c>
      <c r="G3978" s="385">
        <v>46153</v>
      </c>
      <c r="H3978" s="367" t="s">
        <v>12</v>
      </c>
      <c r="I3978" s="368" t="str">
        <f>VLOOKUP(H3978,'[4]Source Codes'!A$2:B$115,2,FALSE)</f>
        <v>AR Direct Cash Journal</v>
      </c>
      <c r="J3978" s="412">
        <v>3122264.4</v>
      </c>
      <c r="K3978" s="385">
        <v>46163</v>
      </c>
      <c r="L3978" s="369" t="s">
        <v>6350</v>
      </c>
      <c r="M3978" s="390">
        <v>46163.752210648148</v>
      </c>
      <c r="N3978" s="366" t="s">
        <v>2185</v>
      </c>
      <c r="O3978" s="367" t="s">
        <v>368</v>
      </c>
      <c r="P3978" s="368" t="str">
        <f t="shared" ref="P3978:P3986" si="174">IF(J3978&gt;0,"Revenue",IF(J3978&lt;0,"Expense"))</f>
        <v>Revenue</v>
      </c>
      <c r="Q3978" s="366" t="s">
        <v>2177</v>
      </c>
      <c r="R3978" s="366" t="s">
        <v>6349</v>
      </c>
      <c r="S3978" s="366" t="s">
        <v>6348</v>
      </c>
    </row>
    <row r="3979" spans="1:19" ht="105" hidden="1" outlineLevel="1">
      <c r="B3979" s="384">
        <v>2026</v>
      </c>
      <c r="C3979" s="384">
        <v>11</v>
      </c>
      <c r="D3979" s="367" t="s">
        <v>5</v>
      </c>
      <c r="E3979" s="367" t="s">
        <v>6</v>
      </c>
      <c r="F3979" s="389" t="s">
        <v>6340</v>
      </c>
      <c r="G3979" s="385">
        <v>46163</v>
      </c>
      <c r="H3979" s="367" t="s">
        <v>11</v>
      </c>
      <c r="I3979" s="368" t="str">
        <f>VLOOKUP(H3979,'[4]Source Codes'!A$2:B$115,2,FALSE)</f>
        <v>AR Payments</v>
      </c>
      <c r="J3979" s="412">
        <v>1854202.59</v>
      </c>
      <c r="K3979" s="385">
        <v>46163</v>
      </c>
      <c r="L3979" s="369" t="s">
        <v>6352</v>
      </c>
      <c r="M3979" s="390">
        <v>46163.752210648148</v>
      </c>
      <c r="N3979" s="366" t="s">
        <v>359</v>
      </c>
      <c r="O3979" s="367" t="s">
        <v>357</v>
      </c>
      <c r="P3979" s="368" t="str">
        <f t="shared" si="174"/>
        <v>Revenue</v>
      </c>
      <c r="Q3979" s="366" t="s">
        <v>2157</v>
      </c>
      <c r="R3979" s="366" t="s">
        <v>2157</v>
      </c>
      <c r="S3979" s="366" t="s">
        <v>6351</v>
      </c>
    </row>
    <row r="3980" spans="1:19" ht="30" hidden="1" outlineLevel="1">
      <c r="B3980" s="384">
        <v>2026</v>
      </c>
      <c r="C3980" s="384">
        <v>11</v>
      </c>
      <c r="D3980" s="367" t="s">
        <v>5</v>
      </c>
      <c r="E3980" s="367" t="s">
        <v>6</v>
      </c>
      <c r="F3980" s="389" t="s">
        <v>6341</v>
      </c>
      <c r="G3980" s="385">
        <v>46162</v>
      </c>
      <c r="H3980" s="367" t="s">
        <v>9</v>
      </c>
      <c r="I3980" s="368" t="str">
        <f>VLOOKUP(H3980,'[4]Source Codes'!A$2:B$115,2,FALSE)</f>
        <v>On Line Journal Entries</v>
      </c>
      <c r="J3980" s="412">
        <v>11502500</v>
      </c>
      <c r="K3980" s="385">
        <v>46163</v>
      </c>
      <c r="L3980" s="369" t="s">
        <v>344</v>
      </c>
      <c r="M3980" s="390">
        <v>46163.596539351849</v>
      </c>
      <c r="N3980" s="366" t="s">
        <v>356</v>
      </c>
      <c r="O3980" s="367" t="s">
        <v>364</v>
      </c>
      <c r="P3980" s="368" t="str">
        <f t="shared" si="174"/>
        <v>Revenue</v>
      </c>
      <c r="Q3980" s="366" t="s">
        <v>2232</v>
      </c>
      <c r="R3980" s="366" t="s">
        <v>3454</v>
      </c>
      <c r="S3980" s="366" t="s">
        <v>3587</v>
      </c>
    </row>
    <row r="3981" spans="1:19" ht="30" hidden="1" outlineLevel="1">
      <c r="B3981" s="384">
        <v>2026</v>
      </c>
      <c r="C3981" s="384">
        <v>11</v>
      </c>
      <c r="D3981" s="367" t="s">
        <v>5</v>
      </c>
      <c r="E3981" s="367" t="s">
        <v>6</v>
      </c>
      <c r="F3981" s="389" t="s">
        <v>6342</v>
      </c>
      <c r="G3981" s="385">
        <v>46161</v>
      </c>
      <c r="H3981" s="367" t="s">
        <v>9</v>
      </c>
      <c r="I3981" s="368" t="str">
        <f>VLOOKUP(H3981,'[4]Source Codes'!A$2:B$115,2,FALSE)</f>
        <v>On Line Journal Entries</v>
      </c>
      <c r="J3981" s="412">
        <v>10803759.359999999</v>
      </c>
      <c r="K3981" s="385">
        <v>46163</v>
      </c>
      <c r="L3981" s="369" t="s">
        <v>344</v>
      </c>
      <c r="M3981" s="390">
        <v>46163.413958333331</v>
      </c>
      <c r="N3981" s="366" t="s">
        <v>356</v>
      </c>
      <c r="O3981" s="367" t="s">
        <v>364</v>
      </c>
      <c r="P3981" s="368" t="str">
        <f t="shared" si="174"/>
        <v>Revenue</v>
      </c>
      <c r="Q3981" s="366" t="s">
        <v>2232</v>
      </c>
      <c r="R3981" s="366" t="s">
        <v>3454</v>
      </c>
      <c r="S3981" s="366" t="s">
        <v>2532</v>
      </c>
    </row>
    <row r="3982" spans="1:19" ht="30" hidden="1" outlineLevel="1">
      <c r="B3982" s="384">
        <v>2026</v>
      </c>
      <c r="C3982" s="384">
        <v>11</v>
      </c>
      <c r="D3982" s="367" t="s">
        <v>5</v>
      </c>
      <c r="E3982" s="367" t="s">
        <v>6</v>
      </c>
      <c r="F3982" s="389" t="s">
        <v>6343</v>
      </c>
      <c r="G3982" s="385">
        <v>46161</v>
      </c>
      <c r="H3982" s="367" t="s">
        <v>9</v>
      </c>
      <c r="I3982" s="368" t="str">
        <f>VLOOKUP(H3982,'[4]Source Codes'!A$2:B$115,2,FALSE)</f>
        <v>On Line Journal Entries</v>
      </c>
      <c r="J3982" s="412">
        <v>8443800</v>
      </c>
      <c r="K3982" s="385">
        <v>46163</v>
      </c>
      <c r="L3982" s="369" t="s">
        <v>344</v>
      </c>
      <c r="M3982" s="390">
        <v>46163.414525462962</v>
      </c>
      <c r="N3982" s="366" t="s">
        <v>356</v>
      </c>
      <c r="O3982" s="367" t="s">
        <v>364</v>
      </c>
      <c r="P3982" s="368" t="str">
        <f t="shared" si="174"/>
        <v>Revenue</v>
      </c>
      <c r="Q3982" s="366" t="s">
        <v>2232</v>
      </c>
      <c r="R3982" s="366" t="s">
        <v>3454</v>
      </c>
      <c r="S3982" s="366">
        <v>230141</v>
      </c>
    </row>
    <row r="3983" spans="1:19" ht="30" hidden="1" outlineLevel="1">
      <c r="B3983" s="384">
        <v>2026</v>
      </c>
      <c r="C3983" s="384">
        <v>11</v>
      </c>
      <c r="D3983" s="367" t="s">
        <v>5</v>
      </c>
      <c r="E3983" s="367" t="s">
        <v>6</v>
      </c>
      <c r="F3983" s="389" t="s">
        <v>6344</v>
      </c>
      <c r="G3983" s="385">
        <v>46161</v>
      </c>
      <c r="H3983" s="367" t="s">
        <v>9</v>
      </c>
      <c r="I3983" s="368" t="str">
        <f>VLOOKUP(H3983,'[4]Source Codes'!A$2:B$115,2,FALSE)</f>
        <v>On Line Journal Entries</v>
      </c>
      <c r="J3983" s="412">
        <v>8280154</v>
      </c>
      <c r="K3983" s="385">
        <v>46163</v>
      </c>
      <c r="L3983" s="369" t="s">
        <v>344</v>
      </c>
      <c r="M3983" s="390">
        <v>46163.415000000001</v>
      </c>
      <c r="N3983" s="366" t="s">
        <v>356</v>
      </c>
      <c r="O3983" s="367" t="s">
        <v>364</v>
      </c>
      <c r="P3983" s="368" t="str">
        <f t="shared" si="174"/>
        <v>Revenue</v>
      </c>
      <c r="Q3983" s="366" t="s">
        <v>2232</v>
      </c>
      <c r="R3983" s="366" t="s">
        <v>3454</v>
      </c>
      <c r="S3983" s="366" t="s">
        <v>6353</v>
      </c>
    </row>
    <row r="3984" spans="1:19" ht="30" hidden="1" outlineLevel="1">
      <c r="B3984" s="384">
        <v>2026</v>
      </c>
      <c r="C3984" s="384">
        <v>11</v>
      </c>
      <c r="D3984" s="367" t="s">
        <v>5</v>
      </c>
      <c r="E3984" s="367" t="s">
        <v>6</v>
      </c>
      <c r="F3984" s="389" t="s">
        <v>6345</v>
      </c>
      <c r="G3984" s="385">
        <v>46161</v>
      </c>
      <c r="H3984" s="367" t="s">
        <v>9</v>
      </c>
      <c r="I3984" s="368" t="str">
        <f>VLOOKUP(H3984,'[4]Source Codes'!A$2:B$115,2,FALSE)</f>
        <v>On Line Journal Entries</v>
      </c>
      <c r="J3984" s="412">
        <v>2177300</v>
      </c>
      <c r="K3984" s="385">
        <v>46163</v>
      </c>
      <c r="L3984" s="369" t="s">
        <v>344</v>
      </c>
      <c r="M3984" s="390">
        <v>46163.871400462966</v>
      </c>
      <c r="N3984" s="366" t="s">
        <v>356</v>
      </c>
      <c r="O3984" s="367" t="s">
        <v>364</v>
      </c>
      <c r="P3984" s="368" t="str">
        <f t="shared" si="174"/>
        <v>Revenue</v>
      </c>
      <c r="Q3984" s="366" t="s">
        <v>2232</v>
      </c>
      <c r="R3984" s="366" t="s">
        <v>3454</v>
      </c>
      <c r="S3984" s="366">
        <v>230141</v>
      </c>
    </row>
    <row r="3985" spans="1:19" ht="30" hidden="1" outlineLevel="1">
      <c r="B3985" s="384">
        <v>2026</v>
      </c>
      <c r="C3985" s="384">
        <v>11</v>
      </c>
      <c r="D3985" s="367" t="s">
        <v>5</v>
      </c>
      <c r="E3985" s="367" t="s">
        <v>6</v>
      </c>
      <c r="F3985" s="389" t="s">
        <v>6346</v>
      </c>
      <c r="G3985" s="385">
        <v>46161</v>
      </c>
      <c r="H3985" s="367" t="s">
        <v>9</v>
      </c>
      <c r="I3985" s="368" t="str">
        <f>VLOOKUP(H3985,'[4]Source Codes'!A$2:B$115,2,FALSE)</f>
        <v>On Line Journal Entries</v>
      </c>
      <c r="J3985" s="412">
        <v>1996388</v>
      </c>
      <c r="K3985" s="385">
        <v>46163</v>
      </c>
      <c r="L3985" s="369" t="s">
        <v>344</v>
      </c>
      <c r="M3985" s="390">
        <v>46163.415983796294</v>
      </c>
      <c r="N3985" s="366" t="s">
        <v>356</v>
      </c>
      <c r="O3985" s="367" t="s">
        <v>364</v>
      </c>
      <c r="P3985" s="368" t="str">
        <f t="shared" si="174"/>
        <v>Revenue</v>
      </c>
      <c r="Q3985" s="366" t="s">
        <v>2232</v>
      </c>
      <c r="R3985" s="366" t="s">
        <v>3454</v>
      </c>
      <c r="S3985" s="366" t="s">
        <v>2533</v>
      </c>
    </row>
    <row r="3986" spans="1:19" ht="30" hidden="1" outlineLevel="1">
      <c r="B3986" s="384">
        <v>2026</v>
      </c>
      <c r="C3986" s="384">
        <v>11</v>
      </c>
      <c r="D3986" s="367" t="s">
        <v>5</v>
      </c>
      <c r="E3986" s="367" t="s">
        <v>6</v>
      </c>
      <c r="F3986" s="389" t="s">
        <v>6347</v>
      </c>
      <c r="G3986" s="385">
        <v>46162</v>
      </c>
      <c r="H3986" s="367" t="s">
        <v>9</v>
      </c>
      <c r="I3986" s="368" t="str">
        <f>VLOOKUP(H3986,'[4]Source Codes'!A$2:B$115,2,FALSE)</f>
        <v>On Line Journal Entries</v>
      </c>
      <c r="J3986" s="412">
        <v>1986500</v>
      </c>
      <c r="K3986" s="385">
        <v>46163</v>
      </c>
      <c r="L3986" s="369" t="s">
        <v>344</v>
      </c>
      <c r="M3986" s="390">
        <v>46163.871400462966</v>
      </c>
      <c r="N3986" s="366" t="s">
        <v>356</v>
      </c>
      <c r="O3986" s="367" t="s">
        <v>364</v>
      </c>
      <c r="P3986" s="368" t="str">
        <f t="shared" si="174"/>
        <v>Revenue</v>
      </c>
      <c r="Q3986" s="366" t="s">
        <v>2232</v>
      </c>
      <c r="R3986" s="366" t="s">
        <v>3454</v>
      </c>
      <c r="S3986" s="366">
        <v>230141</v>
      </c>
    </row>
    <row r="3987" spans="1:19" ht="15" collapsed="1">
      <c r="J3987" s="413">
        <f>SUM(J3978:J3986)</f>
        <v>50166868.350000001</v>
      </c>
    </row>
    <row r="3989" spans="1:19" ht="12.75" customHeight="1">
      <c r="A3989" s="378" t="s">
        <v>6354</v>
      </c>
    </row>
    <row r="3990" spans="1:19" ht="30" hidden="1" outlineLevel="1">
      <c r="B3990" s="384">
        <v>2026</v>
      </c>
      <c r="C3990" s="384">
        <v>11</v>
      </c>
      <c r="D3990" s="367" t="s">
        <v>5</v>
      </c>
      <c r="E3990" s="367" t="s">
        <v>6</v>
      </c>
      <c r="F3990" s="389" t="s">
        <v>6355</v>
      </c>
      <c r="G3990" s="385">
        <v>46170</v>
      </c>
      <c r="H3990" s="367" t="s">
        <v>14</v>
      </c>
      <c r="I3990" s="368" t="str">
        <f>VLOOKUP(H3990,'[4]Source Codes'!A$2:B$115,2,FALSE)</f>
        <v>AP Warrant Issuance</v>
      </c>
      <c r="J3990" s="412">
        <v>-1168755.51</v>
      </c>
      <c r="K3990" s="385">
        <v>46168</v>
      </c>
      <c r="L3990" s="369" t="s">
        <v>6359</v>
      </c>
      <c r="M3990" s="390">
        <v>46168.758668981478</v>
      </c>
      <c r="N3990" s="366" t="s">
        <v>356</v>
      </c>
      <c r="O3990" s="367" t="s">
        <v>368</v>
      </c>
      <c r="P3990" s="368" t="str">
        <f t="shared" ref="P3990:P3992" si="175">IF(J3990&gt;0,"Revenue",IF(J3990&lt;0,"Expense"))</f>
        <v>Expense</v>
      </c>
      <c r="Q3990" s="366" t="s">
        <v>5835</v>
      </c>
      <c r="R3990" s="366" t="s">
        <v>5835</v>
      </c>
      <c r="S3990" s="366" t="s">
        <v>203</v>
      </c>
    </row>
    <row r="3991" spans="1:19" ht="45" hidden="1" outlineLevel="1">
      <c r="B3991" s="384">
        <v>2026</v>
      </c>
      <c r="C3991" s="384">
        <v>11</v>
      </c>
      <c r="D3991" s="367" t="s">
        <v>5</v>
      </c>
      <c r="E3991" s="367" t="s">
        <v>6</v>
      </c>
      <c r="F3991" s="389" t="s">
        <v>6356</v>
      </c>
      <c r="G3991" s="385">
        <v>46168</v>
      </c>
      <c r="H3991" s="367" t="s">
        <v>12</v>
      </c>
      <c r="I3991" s="368" t="str">
        <f>VLOOKUP(H3991,'[4]Source Codes'!A$2:B$115,2,FALSE)</f>
        <v>AR Direct Cash Journal</v>
      </c>
      <c r="J3991" s="412">
        <v>5811383.6200000001</v>
      </c>
      <c r="K3991" s="385">
        <v>46168</v>
      </c>
      <c r="L3991" s="369" t="s">
        <v>6361</v>
      </c>
      <c r="M3991" s="390">
        <v>46168.752083333333</v>
      </c>
      <c r="N3991" s="368" t="s">
        <v>361</v>
      </c>
      <c r="O3991" s="367" t="s">
        <v>371</v>
      </c>
      <c r="P3991" s="368" t="str">
        <f t="shared" si="175"/>
        <v>Revenue</v>
      </c>
      <c r="Q3991" s="366" t="s">
        <v>2316</v>
      </c>
      <c r="R3991" s="366" t="s">
        <v>6360</v>
      </c>
      <c r="S3991" s="366">
        <v>710020</v>
      </c>
    </row>
    <row r="3992" spans="1:19" ht="30" hidden="1" outlineLevel="1">
      <c r="B3992" s="384">
        <v>2026</v>
      </c>
      <c r="C3992" s="384">
        <v>11</v>
      </c>
      <c r="D3992" s="367" t="s">
        <v>5</v>
      </c>
      <c r="E3992" s="367" t="s">
        <v>6</v>
      </c>
      <c r="F3992" s="389" t="s">
        <v>6357</v>
      </c>
      <c r="G3992" s="385">
        <v>46148</v>
      </c>
      <c r="H3992" s="367" t="s">
        <v>12</v>
      </c>
      <c r="I3992" s="368" t="str">
        <f>VLOOKUP(H3992,'[4]Source Codes'!A$2:B$115,2,FALSE)</f>
        <v>AR Direct Cash Journal</v>
      </c>
      <c r="J3992" s="412">
        <v>42439836.090000004</v>
      </c>
      <c r="K3992" s="385">
        <v>46168</v>
      </c>
      <c r="L3992" s="369" t="s">
        <v>6362</v>
      </c>
      <c r="M3992" s="390">
        <v>46168.752083333333</v>
      </c>
      <c r="N3992" s="366" t="s">
        <v>356</v>
      </c>
      <c r="O3992" s="367" t="s">
        <v>368</v>
      </c>
      <c r="P3992" s="368" t="str">
        <f t="shared" si="175"/>
        <v>Revenue</v>
      </c>
      <c r="Q3992" s="366" t="s">
        <v>2177</v>
      </c>
      <c r="R3992" s="366" t="s">
        <v>2214</v>
      </c>
      <c r="S3992" s="366" t="s">
        <v>5016</v>
      </c>
    </row>
    <row r="3993" spans="1:19" ht="15" collapsed="1">
      <c r="J3993" s="413">
        <f>SUM(J3990:J3992)</f>
        <v>47082464.200000003</v>
      </c>
    </row>
    <row r="3995" spans="1:19" ht="12.75" customHeight="1">
      <c r="A3995" s="378" t="s">
        <v>6363</v>
      </c>
    </row>
    <row r="3996" spans="1:19" ht="30" hidden="1" outlineLevel="1">
      <c r="B3996" s="384">
        <v>2026</v>
      </c>
      <c r="C3996" s="384">
        <v>11</v>
      </c>
      <c r="D3996" s="367" t="s">
        <v>5</v>
      </c>
      <c r="E3996" s="367" t="s">
        <v>6</v>
      </c>
      <c r="F3996" s="389" t="s">
        <v>6364</v>
      </c>
      <c r="G3996" s="385">
        <v>46171</v>
      </c>
      <c r="H3996" s="367" t="s">
        <v>14</v>
      </c>
      <c r="I3996" s="368" t="str">
        <f>VLOOKUP(H3996,'[4]Source Codes'!A$2:B$115,2,FALSE)</f>
        <v>AP Warrant Issuance</v>
      </c>
      <c r="J3996" s="412">
        <v>-1614636.73</v>
      </c>
      <c r="K3996" s="385">
        <v>46169</v>
      </c>
      <c r="L3996" s="369" t="s">
        <v>6372</v>
      </c>
      <c r="M3996" s="390">
        <v>46169.758715277778</v>
      </c>
      <c r="N3996" s="366" t="s">
        <v>356</v>
      </c>
      <c r="O3996" s="367" t="s">
        <v>368</v>
      </c>
      <c r="P3996" s="368" t="str">
        <f t="shared" ref="P3996:P4018" si="176">IF(J3996&gt;0,"Revenue",IF(J3996&lt;0,"Expense"))</f>
        <v>Expense</v>
      </c>
      <c r="Q3996" s="366" t="s">
        <v>5835</v>
      </c>
      <c r="R3996" s="366" t="s">
        <v>5835</v>
      </c>
      <c r="S3996" s="366" t="s">
        <v>203</v>
      </c>
    </row>
    <row r="3997" spans="1:19" ht="30" hidden="1" outlineLevel="1">
      <c r="B3997" s="384">
        <v>2026</v>
      </c>
      <c r="C3997" s="384">
        <v>11</v>
      </c>
      <c r="D3997" s="367" t="s">
        <v>5</v>
      </c>
      <c r="E3997" s="367" t="s">
        <v>6</v>
      </c>
      <c r="F3997" s="389" t="s">
        <v>6365</v>
      </c>
      <c r="G3997" s="385">
        <v>46169</v>
      </c>
      <c r="H3997" s="367" t="s">
        <v>12</v>
      </c>
      <c r="I3997" s="368" t="str">
        <f>VLOOKUP(H3997,'[4]Source Codes'!A$2:B$115,2,FALSE)</f>
        <v>AR Direct Cash Journal</v>
      </c>
      <c r="J3997" s="412">
        <v>-187128707.47</v>
      </c>
      <c r="K3997" s="385">
        <v>46169</v>
      </c>
      <c r="L3997" s="369" t="s">
        <v>6373</v>
      </c>
      <c r="M3997" s="390">
        <v>46169.75209490741</v>
      </c>
      <c r="N3997" s="368" t="s">
        <v>377</v>
      </c>
      <c r="O3997" s="367" t="s">
        <v>358</v>
      </c>
      <c r="P3997" s="368" t="str">
        <f t="shared" si="176"/>
        <v>Expense</v>
      </c>
      <c r="Q3997" s="366" t="s">
        <v>2616</v>
      </c>
      <c r="R3997" s="365" t="s">
        <v>5480</v>
      </c>
      <c r="S3997" s="366">
        <v>101500</v>
      </c>
    </row>
    <row r="3998" spans="1:19" ht="60" hidden="1" outlineLevel="1">
      <c r="B3998" s="384">
        <v>2026</v>
      </c>
      <c r="C3998" s="384">
        <v>11</v>
      </c>
      <c r="D3998" s="367" t="s">
        <v>5</v>
      </c>
      <c r="E3998" s="367" t="s">
        <v>6</v>
      </c>
      <c r="F3998" s="389" t="s">
        <v>6366</v>
      </c>
      <c r="G3998" s="385">
        <v>46169</v>
      </c>
      <c r="H3998" s="367" t="s">
        <v>12</v>
      </c>
      <c r="I3998" s="368" t="str">
        <f>VLOOKUP(H3998,'[4]Source Codes'!A$2:B$115,2,FALSE)</f>
        <v>AR Direct Cash Journal</v>
      </c>
      <c r="J3998" s="412">
        <v>4752728.26</v>
      </c>
      <c r="K3998" s="385">
        <v>46169</v>
      </c>
      <c r="L3998" s="369" t="s">
        <v>6374</v>
      </c>
      <c r="M3998" s="390">
        <v>46169.75209490741</v>
      </c>
      <c r="N3998" s="366" t="s">
        <v>356</v>
      </c>
      <c r="O3998" s="367" t="s">
        <v>371</v>
      </c>
      <c r="P3998" s="368" t="str">
        <f t="shared" si="176"/>
        <v>Revenue</v>
      </c>
      <c r="Q3998" s="366" t="s">
        <v>2346</v>
      </c>
      <c r="R3998" s="366" t="s">
        <v>6375</v>
      </c>
      <c r="S3998" s="366">
        <v>750250</v>
      </c>
    </row>
    <row r="3999" spans="1:19" ht="30" hidden="1" outlineLevel="1">
      <c r="B3999" s="384">
        <v>2026</v>
      </c>
      <c r="C3999" s="384">
        <v>11</v>
      </c>
      <c r="D3999" s="367" t="s">
        <v>5</v>
      </c>
      <c r="E3999" s="367" t="s">
        <v>6</v>
      </c>
      <c r="F3999" s="389" t="s">
        <v>6367</v>
      </c>
      <c r="G3999" s="385">
        <v>46168</v>
      </c>
      <c r="H3999" s="367" t="s">
        <v>11</v>
      </c>
      <c r="I3999" s="368" t="str">
        <f>VLOOKUP(H3999,'[4]Source Codes'!A$2:B$115,2,FALSE)</f>
        <v>AR Payments</v>
      </c>
      <c r="J3999" s="412">
        <v>1455579.79</v>
      </c>
      <c r="K3999" s="385">
        <v>46169</v>
      </c>
      <c r="L3999" s="369" t="s">
        <v>6376</v>
      </c>
      <c r="M3999" s="390">
        <v>46169.75209490741</v>
      </c>
      <c r="N3999" s="366" t="s">
        <v>359</v>
      </c>
      <c r="O3999" s="367" t="s">
        <v>357</v>
      </c>
      <c r="P3999" s="368" t="str">
        <f t="shared" si="176"/>
        <v>Revenue</v>
      </c>
      <c r="Q3999" s="366" t="s">
        <v>2157</v>
      </c>
      <c r="R3999" s="366" t="s">
        <v>2157</v>
      </c>
      <c r="S3999" s="366" t="s">
        <v>2231</v>
      </c>
    </row>
    <row r="4000" spans="1:19" ht="30" hidden="1" outlineLevel="1">
      <c r="B4000" s="384">
        <v>2026</v>
      </c>
      <c r="C4000" s="384">
        <v>11</v>
      </c>
      <c r="D4000" s="367" t="s">
        <v>5</v>
      </c>
      <c r="E4000" s="367" t="s">
        <v>6</v>
      </c>
      <c r="F4000" s="389" t="s">
        <v>6368</v>
      </c>
      <c r="G4000" s="385">
        <v>46162</v>
      </c>
      <c r="H4000" s="367" t="s">
        <v>16</v>
      </c>
      <c r="I4000" s="368" t="str">
        <f>VLOOKUP(H4000,'[4]Source Codes'!A$2:B$115,2,FALSE)</f>
        <v>Property Tax Interface</v>
      </c>
      <c r="J4000" s="412">
        <v>115787402.93000001</v>
      </c>
      <c r="K4000" s="385">
        <v>46169</v>
      </c>
      <c r="L4000" s="369" t="s">
        <v>6370</v>
      </c>
      <c r="M4000" s="390">
        <v>46169.613680555558</v>
      </c>
      <c r="N4000" s="368" t="s">
        <v>387</v>
      </c>
      <c r="O4000" s="367" t="s">
        <v>384</v>
      </c>
      <c r="P4000" s="368" t="str">
        <f t="shared" si="176"/>
        <v>Revenue</v>
      </c>
      <c r="Q4000" s="366" t="s">
        <v>2199</v>
      </c>
      <c r="R4000" s="365" t="s">
        <v>6377</v>
      </c>
      <c r="S4000" s="366" t="s">
        <v>203</v>
      </c>
    </row>
    <row r="4001" spans="1:19" ht="45" hidden="1" outlineLevel="1">
      <c r="B4001" s="384">
        <v>2026</v>
      </c>
      <c r="C4001" s="384">
        <v>11</v>
      </c>
      <c r="D4001" s="367" t="s">
        <v>5</v>
      </c>
      <c r="E4001" s="367" t="s">
        <v>6</v>
      </c>
      <c r="F4001" s="389" t="s">
        <v>6369</v>
      </c>
      <c r="G4001" s="385">
        <v>46161</v>
      </c>
      <c r="H4001" s="367" t="s">
        <v>9</v>
      </c>
      <c r="I4001" s="368" t="str">
        <f>VLOOKUP(H4001,'[4]Source Codes'!A$2:B$115,2,FALSE)</f>
        <v>On Line Journal Entries</v>
      </c>
      <c r="J4001" s="412">
        <v>4058125.67</v>
      </c>
      <c r="K4001" s="385">
        <v>46169</v>
      </c>
      <c r="L4001" s="369" t="s">
        <v>6371</v>
      </c>
      <c r="M4001" s="390">
        <v>46169.870127314818</v>
      </c>
      <c r="N4001" s="366" t="s">
        <v>361</v>
      </c>
      <c r="O4001" s="367" t="s">
        <v>376</v>
      </c>
      <c r="P4001" s="368" t="str">
        <f t="shared" si="176"/>
        <v>Revenue</v>
      </c>
      <c r="Q4001" s="366" t="s">
        <v>2657</v>
      </c>
      <c r="R4001" s="366" t="s">
        <v>6208</v>
      </c>
      <c r="S4001" s="366">
        <v>755928</v>
      </c>
    </row>
    <row r="4002" spans="1:19" ht="15" collapsed="1">
      <c r="I4002" s="368"/>
      <c r="J4002" s="413">
        <f>SUM(J3996:J4001)</f>
        <v>-62689507.549999997</v>
      </c>
      <c r="P4002" s="368"/>
    </row>
    <row r="4003" spans="1:19" ht="12.75" customHeight="1">
      <c r="I4003" s="368"/>
      <c r="P4003" s="368"/>
    </row>
    <row r="4004" spans="1:19" ht="12.75" customHeight="1">
      <c r="A4004" s="378" t="s">
        <v>6378</v>
      </c>
      <c r="I4004" s="368"/>
      <c r="P4004" s="368"/>
    </row>
    <row r="4005" spans="1:19" ht="30" hidden="1" outlineLevel="1">
      <c r="B4005" s="384">
        <v>2026</v>
      </c>
      <c r="C4005" s="384">
        <v>12</v>
      </c>
      <c r="D4005" s="367" t="s">
        <v>5</v>
      </c>
      <c r="E4005" s="367" t="s">
        <v>6</v>
      </c>
      <c r="F4005" s="389" t="s">
        <v>6379</v>
      </c>
      <c r="G4005" s="385">
        <v>46174</v>
      </c>
      <c r="H4005" s="367" t="s">
        <v>14</v>
      </c>
      <c r="I4005" s="368" t="str">
        <f>VLOOKUP(H4005,'[4]Source Codes'!A$2:B$115,2,FALSE)</f>
        <v>AP Warrant Issuance</v>
      </c>
      <c r="J4005" s="412">
        <v>-1872551.57</v>
      </c>
      <c r="K4005" s="385">
        <v>46170</v>
      </c>
      <c r="L4005" s="369" t="s">
        <v>6381</v>
      </c>
      <c r="M4005" s="390">
        <v>46170.758402777778</v>
      </c>
      <c r="N4005" s="366" t="s">
        <v>356</v>
      </c>
      <c r="O4005" s="367" t="s">
        <v>368</v>
      </c>
      <c r="P4005" s="368" t="str">
        <f t="shared" si="176"/>
        <v>Expense</v>
      </c>
      <c r="Q4005" s="366" t="s">
        <v>5835</v>
      </c>
      <c r="R4005" s="366" t="s">
        <v>5835</v>
      </c>
      <c r="S4005" s="366">
        <v>530280</v>
      </c>
    </row>
    <row r="4006" spans="1:19" ht="30" hidden="1" outlineLevel="1">
      <c r="B4006" s="384">
        <v>2026</v>
      </c>
      <c r="C4006" s="384">
        <v>11</v>
      </c>
      <c r="D4006" s="367" t="s">
        <v>5</v>
      </c>
      <c r="E4006" s="367" t="s">
        <v>6</v>
      </c>
      <c r="F4006" s="389" t="s">
        <v>6380</v>
      </c>
      <c r="G4006" s="385">
        <v>46170</v>
      </c>
      <c r="H4006" s="367" t="s">
        <v>14</v>
      </c>
      <c r="I4006" s="368" t="str">
        <f>VLOOKUP(H4006,'[4]Source Codes'!A$2:B$115,2,FALSE)</f>
        <v>AP Warrant Issuance</v>
      </c>
      <c r="J4006" s="412">
        <v>-1007785.09</v>
      </c>
      <c r="K4006" s="385">
        <v>46170</v>
      </c>
      <c r="L4006" s="369" t="s">
        <v>6382</v>
      </c>
      <c r="M4006" s="390">
        <v>46170.758402777778</v>
      </c>
      <c r="N4006" s="366" t="s">
        <v>356</v>
      </c>
      <c r="O4006" s="367" t="s">
        <v>368</v>
      </c>
      <c r="P4006" s="368" t="str">
        <f t="shared" si="176"/>
        <v>Expense</v>
      </c>
      <c r="Q4006" s="366" t="s">
        <v>5835</v>
      </c>
      <c r="R4006" s="366" t="s">
        <v>5835</v>
      </c>
      <c r="S4006" s="366" t="s">
        <v>203</v>
      </c>
    </row>
    <row r="4007" spans="1:19" ht="75" hidden="1" outlineLevel="1">
      <c r="B4007" s="384">
        <v>2026</v>
      </c>
      <c r="C4007" s="384">
        <v>11</v>
      </c>
      <c r="D4007" s="367" t="s">
        <v>5</v>
      </c>
      <c r="E4007" s="367" t="s">
        <v>6</v>
      </c>
      <c r="F4007" s="389" t="s">
        <v>6383</v>
      </c>
      <c r="G4007" s="385">
        <v>46170</v>
      </c>
      <c r="H4007" s="367" t="s">
        <v>11</v>
      </c>
      <c r="I4007" s="368" t="str">
        <f>VLOOKUP(H4007,'[4]Source Codes'!A$2:B$115,2,FALSE)</f>
        <v>AR Payments</v>
      </c>
      <c r="J4007" s="412">
        <v>5146083.75</v>
      </c>
      <c r="K4007" s="385">
        <v>46170</v>
      </c>
      <c r="L4007" s="369" t="s">
        <v>6384</v>
      </c>
      <c r="M4007" s="390">
        <v>46170.752245370371</v>
      </c>
      <c r="N4007" s="366" t="s">
        <v>356</v>
      </c>
      <c r="O4007" s="367" t="s">
        <v>357</v>
      </c>
      <c r="P4007" s="368" t="str">
        <f t="shared" si="176"/>
        <v>Revenue</v>
      </c>
      <c r="Q4007" s="366" t="s">
        <v>2157</v>
      </c>
      <c r="R4007" s="366" t="s">
        <v>2157</v>
      </c>
      <c r="S4007" s="366" t="s">
        <v>4117</v>
      </c>
    </row>
    <row r="4008" spans="1:19" ht="30" hidden="1" outlineLevel="1">
      <c r="B4008" s="384">
        <v>2026</v>
      </c>
      <c r="C4008" s="384">
        <v>11</v>
      </c>
      <c r="D4008" s="367" t="s">
        <v>5</v>
      </c>
      <c r="E4008" s="367" t="s">
        <v>6</v>
      </c>
      <c r="F4008" s="389" t="s">
        <v>6385</v>
      </c>
      <c r="G4008" s="385">
        <v>46169</v>
      </c>
      <c r="H4008" s="367" t="s">
        <v>9</v>
      </c>
      <c r="I4008" s="368" t="str">
        <f>VLOOKUP(H4008,'[4]Source Codes'!A$2:B$115,2,FALSE)</f>
        <v>On Line Journal Entries</v>
      </c>
      <c r="J4008" s="412">
        <v>29447889.879999999</v>
      </c>
      <c r="K4008" s="385">
        <v>46170</v>
      </c>
      <c r="L4008" s="369" t="s">
        <v>6391</v>
      </c>
      <c r="M4008" s="390">
        <v>46170.439074074071</v>
      </c>
      <c r="N4008" s="366" t="s">
        <v>356</v>
      </c>
      <c r="O4008" s="367" t="s">
        <v>371</v>
      </c>
      <c r="P4008" s="368" t="str">
        <f t="shared" si="176"/>
        <v>Revenue</v>
      </c>
      <c r="Q4008" s="366" t="s">
        <v>2158</v>
      </c>
      <c r="R4008" s="366" t="s">
        <v>6397</v>
      </c>
      <c r="S4008" s="366">
        <v>755120</v>
      </c>
    </row>
    <row r="4009" spans="1:19" ht="45" hidden="1" outlineLevel="1">
      <c r="B4009" s="384">
        <v>2026</v>
      </c>
      <c r="C4009" s="384">
        <v>11</v>
      </c>
      <c r="D4009" s="367" t="s">
        <v>5</v>
      </c>
      <c r="E4009" s="367" t="s">
        <v>6</v>
      </c>
      <c r="F4009" s="389" t="s">
        <v>6386</v>
      </c>
      <c r="G4009" s="385">
        <v>46169</v>
      </c>
      <c r="H4009" s="367" t="s">
        <v>9</v>
      </c>
      <c r="I4009" s="368" t="str">
        <f>VLOOKUP(H4009,'[4]Source Codes'!A$2:B$115,2,FALSE)</f>
        <v>On Line Journal Entries</v>
      </c>
      <c r="J4009" s="412">
        <v>14248219.16</v>
      </c>
      <c r="K4009" s="385">
        <v>46170</v>
      </c>
      <c r="L4009" s="369" t="s">
        <v>6392</v>
      </c>
      <c r="M4009" s="390">
        <v>46170.456134259257</v>
      </c>
      <c r="N4009" s="366" t="s">
        <v>356</v>
      </c>
      <c r="O4009" s="367" t="s">
        <v>371</v>
      </c>
      <c r="P4009" s="368" t="str">
        <f t="shared" si="176"/>
        <v>Revenue</v>
      </c>
      <c r="Q4009" s="366" t="s">
        <v>2427</v>
      </c>
      <c r="R4009" s="366" t="s">
        <v>6398</v>
      </c>
      <c r="S4009" s="366" t="s">
        <v>2160</v>
      </c>
    </row>
    <row r="4010" spans="1:19" ht="60" hidden="1" outlineLevel="1">
      <c r="B4010" s="384">
        <v>2026</v>
      </c>
      <c r="C4010" s="384">
        <v>11</v>
      </c>
      <c r="D4010" s="367" t="s">
        <v>5</v>
      </c>
      <c r="E4010" s="367" t="s">
        <v>6</v>
      </c>
      <c r="F4010" s="389" t="s">
        <v>6387</v>
      </c>
      <c r="G4010" s="385">
        <v>46169</v>
      </c>
      <c r="H4010" s="367" t="s">
        <v>9</v>
      </c>
      <c r="I4010" s="368" t="str">
        <f>VLOOKUP(H4010,'[4]Source Codes'!A$2:B$115,2,FALSE)</f>
        <v>On Line Journal Entries</v>
      </c>
      <c r="J4010" s="412">
        <v>3348859.09</v>
      </c>
      <c r="K4010" s="385">
        <v>46170</v>
      </c>
      <c r="L4010" s="369" t="s">
        <v>6393</v>
      </c>
      <c r="M4010" s="390">
        <v>46170.440451388888</v>
      </c>
      <c r="N4010" s="366" t="s">
        <v>356</v>
      </c>
      <c r="O4010" s="367" t="s">
        <v>371</v>
      </c>
      <c r="P4010" s="368" t="str">
        <f t="shared" si="176"/>
        <v>Revenue</v>
      </c>
      <c r="Q4010" s="366" t="s">
        <v>3577</v>
      </c>
      <c r="R4010" s="366" t="s">
        <v>6399</v>
      </c>
      <c r="S4010" s="366">
        <v>750900</v>
      </c>
    </row>
    <row r="4011" spans="1:19" ht="15" hidden="1" outlineLevel="1">
      <c r="B4011" s="384">
        <v>2026</v>
      </c>
      <c r="C4011" s="384">
        <v>11</v>
      </c>
      <c r="D4011" s="367" t="s">
        <v>5</v>
      </c>
      <c r="E4011" s="367" t="s">
        <v>6</v>
      </c>
      <c r="F4011" s="389" t="s">
        <v>6388</v>
      </c>
      <c r="G4011" s="385">
        <v>46169</v>
      </c>
      <c r="H4011" s="367" t="s">
        <v>9</v>
      </c>
      <c r="I4011" s="368" t="str">
        <f>VLOOKUP(H4011,'[4]Source Codes'!A$2:B$115,2,FALSE)</f>
        <v>On Line Journal Entries</v>
      </c>
      <c r="J4011" s="412">
        <v>2125567</v>
      </c>
      <c r="K4011" s="385">
        <v>46170</v>
      </c>
      <c r="L4011" s="369" t="s">
        <v>6394</v>
      </c>
      <c r="M4011" s="390">
        <v>46170.464768518519</v>
      </c>
      <c r="N4011" s="366" t="s">
        <v>356</v>
      </c>
      <c r="O4011" s="367" t="s">
        <v>371</v>
      </c>
      <c r="P4011" s="368" t="str">
        <f t="shared" si="176"/>
        <v>Revenue</v>
      </c>
      <c r="Q4011" s="366" t="s">
        <v>2164</v>
      </c>
      <c r="R4011" s="393">
        <v>46143</v>
      </c>
      <c r="S4011" s="366">
        <v>755909</v>
      </c>
    </row>
    <row r="4012" spans="1:19" ht="25.5" hidden="1" outlineLevel="1">
      <c r="B4012" s="384">
        <v>2026</v>
      </c>
      <c r="C4012" s="384">
        <v>11</v>
      </c>
      <c r="D4012" s="367" t="s">
        <v>5</v>
      </c>
      <c r="E4012" s="367" t="s">
        <v>6</v>
      </c>
      <c r="F4012" s="389" t="s">
        <v>6389</v>
      </c>
      <c r="G4012" s="385">
        <v>46170</v>
      </c>
      <c r="H4012" s="367" t="s">
        <v>9</v>
      </c>
      <c r="I4012" s="368" t="str">
        <f>VLOOKUP(H4012,'[4]Source Codes'!A$2:B$115,2,FALSE)</f>
        <v>On Line Journal Entries</v>
      </c>
      <c r="J4012" s="412">
        <v>1563733.47</v>
      </c>
      <c r="K4012" s="385">
        <v>46170</v>
      </c>
      <c r="L4012" s="369" t="s">
        <v>6395</v>
      </c>
      <c r="M4012" s="390">
        <v>46170.87059027778</v>
      </c>
      <c r="N4012" s="366" t="s">
        <v>356</v>
      </c>
      <c r="O4012" s="367" t="s">
        <v>1180</v>
      </c>
      <c r="P4012" s="368" t="str">
        <f t="shared" si="176"/>
        <v>Revenue</v>
      </c>
      <c r="Q4012" s="436" t="s">
        <v>6400</v>
      </c>
      <c r="R4012" s="366" t="s">
        <v>6401</v>
      </c>
      <c r="S4012" s="366">
        <v>781680</v>
      </c>
    </row>
    <row r="4013" spans="1:19" ht="45" hidden="1" outlineLevel="1">
      <c r="B4013" s="384">
        <v>2026</v>
      </c>
      <c r="C4013" s="384">
        <v>11</v>
      </c>
      <c r="D4013" s="367" t="s">
        <v>5</v>
      </c>
      <c r="E4013" s="367" t="s">
        <v>6</v>
      </c>
      <c r="F4013" s="389" t="s">
        <v>6390</v>
      </c>
      <c r="G4013" s="385">
        <v>46169</v>
      </c>
      <c r="H4013" s="367" t="s">
        <v>9</v>
      </c>
      <c r="I4013" s="368" t="str">
        <f>VLOOKUP(H4013,'[4]Source Codes'!A$2:B$115,2,FALSE)</f>
        <v>On Line Journal Entries</v>
      </c>
      <c r="J4013" s="412">
        <v>1357301.11</v>
      </c>
      <c r="K4013" s="385">
        <v>46170</v>
      </c>
      <c r="L4013" s="369" t="s">
        <v>6396</v>
      </c>
      <c r="M4013" s="390">
        <v>46170.463252314818</v>
      </c>
      <c r="N4013" s="366" t="s">
        <v>356</v>
      </c>
      <c r="O4013" s="367" t="s">
        <v>371</v>
      </c>
      <c r="P4013" s="368" t="str">
        <f t="shared" si="176"/>
        <v>Revenue</v>
      </c>
      <c r="Q4013" s="366" t="s">
        <v>4145</v>
      </c>
      <c r="R4013" s="366" t="s">
        <v>6398</v>
      </c>
      <c r="S4013" s="366">
        <v>751500</v>
      </c>
    </row>
    <row r="4014" spans="1:19" ht="30" hidden="1" outlineLevel="1">
      <c r="B4014" s="384">
        <v>2026</v>
      </c>
      <c r="C4014" s="384">
        <v>11</v>
      </c>
      <c r="D4014" s="367" t="s">
        <v>5</v>
      </c>
      <c r="E4014" s="367" t="s">
        <v>6</v>
      </c>
      <c r="F4014" s="389" t="s">
        <v>6402</v>
      </c>
      <c r="G4014" s="385">
        <v>46153</v>
      </c>
      <c r="H4014" s="367" t="s">
        <v>337</v>
      </c>
      <c r="I4014" s="368" t="str">
        <f>VLOOKUP(H4014,'[4]Source Codes'!A$2:B$115,2,FALSE)</f>
        <v>Facilities Mngmnt Intfc Jrnls</v>
      </c>
      <c r="J4014" s="412">
        <v>-1087232.1000000001</v>
      </c>
      <c r="K4014" s="385">
        <v>46170</v>
      </c>
      <c r="L4014" s="369" t="s">
        <v>6407</v>
      </c>
      <c r="M4014" s="390">
        <v>46170.870729166665</v>
      </c>
      <c r="N4014" s="366" t="s">
        <v>356</v>
      </c>
      <c r="O4014" s="367" t="s">
        <v>367</v>
      </c>
      <c r="P4014" s="368" t="str">
        <f t="shared" si="176"/>
        <v>Expense</v>
      </c>
      <c r="Q4014" s="366" t="s">
        <v>2240</v>
      </c>
      <c r="R4014" s="366" t="s">
        <v>6409</v>
      </c>
      <c r="S4014" s="366" t="s">
        <v>6410</v>
      </c>
    </row>
    <row r="4015" spans="1:19" ht="15" hidden="1" outlineLevel="1">
      <c r="B4015" s="384">
        <v>2026</v>
      </c>
      <c r="C4015" s="384">
        <v>11</v>
      </c>
      <c r="D4015" s="367" t="s">
        <v>5</v>
      </c>
      <c r="E4015" s="367" t="s">
        <v>6</v>
      </c>
      <c r="F4015" s="389" t="s">
        <v>6403</v>
      </c>
      <c r="G4015" s="385">
        <v>46170</v>
      </c>
      <c r="H4015" s="367" t="s">
        <v>7</v>
      </c>
      <c r="I4015" s="368" t="str">
        <f>VLOOKUP(H4015,'[4]Source Codes'!A$2:B$115,2,FALSE)</f>
        <v>HRMS Interface Journals</v>
      </c>
      <c r="J4015" s="412">
        <v>-1368102.16</v>
      </c>
      <c r="K4015" s="385">
        <v>46170</v>
      </c>
      <c r="L4015" s="369" t="s">
        <v>406</v>
      </c>
      <c r="M4015" s="390">
        <v>46170.655219907407</v>
      </c>
      <c r="N4015" s="366" t="s">
        <v>3624</v>
      </c>
      <c r="O4015" s="367" t="s">
        <v>371</v>
      </c>
      <c r="P4015" s="368" t="str">
        <f t="shared" si="176"/>
        <v>Expense</v>
      </c>
      <c r="Q4015" s="366" t="s">
        <v>379</v>
      </c>
      <c r="R4015" s="366" t="s">
        <v>6411</v>
      </c>
      <c r="S4015" s="366" t="s">
        <v>6412</v>
      </c>
    </row>
    <row r="4016" spans="1:19" ht="15" hidden="1" outlineLevel="1">
      <c r="B4016" s="384">
        <v>2026</v>
      </c>
      <c r="C4016" s="384">
        <v>11</v>
      </c>
      <c r="D4016" s="367" t="s">
        <v>5</v>
      </c>
      <c r="E4016" s="367" t="s">
        <v>6</v>
      </c>
      <c r="F4016" s="389" t="s">
        <v>6404</v>
      </c>
      <c r="G4016" s="385">
        <v>46169</v>
      </c>
      <c r="H4016" s="367" t="s">
        <v>7</v>
      </c>
      <c r="I4016" s="368" t="str">
        <f>VLOOKUP(H4016,'[4]Source Codes'!A$2:B$115,2,FALSE)</f>
        <v>HRMS Interface Journals</v>
      </c>
      <c r="J4016" s="412">
        <v>-2768953.12</v>
      </c>
      <c r="K4016" s="385">
        <v>46170</v>
      </c>
      <c r="L4016" s="369" t="s">
        <v>409</v>
      </c>
      <c r="M4016" s="390">
        <v>46170.392361111109</v>
      </c>
      <c r="N4016" s="366" t="s">
        <v>3624</v>
      </c>
      <c r="O4016" s="367" t="s">
        <v>379</v>
      </c>
      <c r="P4016" s="368" t="str">
        <f t="shared" si="176"/>
        <v>Expense</v>
      </c>
      <c r="Q4016" s="366" t="s">
        <v>379</v>
      </c>
      <c r="R4016" s="366" t="s">
        <v>6411</v>
      </c>
      <c r="S4016" s="366">
        <v>513120</v>
      </c>
    </row>
    <row r="4017" spans="1:19" ht="30" hidden="1" outlineLevel="1">
      <c r="B4017" s="384">
        <v>2026</v>
      </c>
      <c r="C4017" s="384">
        <v>11</v>
      </c>
      <c r="D4017" s="367" t="s">
        <v>5</v>
      </c>
      <c r="E4017" s="367" t="s">
        <v>6</v>
      </c>
      <c r="F4017" s="389" t="s">
        <v>6405</v>
      </c>
      <c r="G4017" s="385">
        <v>46169</v>
      </c>
      <c r="H4017" s="367" t="s">
        <v>9</v>
      </c>
      <c r="I4017" s="368" t="str">
        <f>VLOOKUP(H4017,'[4]Source Codes'!A$2:B$115,2,FALSE)</f>
        <v>On Line Journal Entries</v>
      </c>
      <c r="J4017" s="412">
        <v>-3495741.92</v>
      </c>
      <c r="K4017" s="385">
        <v>46170</v>
      </c>
      <c r="L4017" s="369" t="s">
        <v>6408</v>
      </c>
      <c r="M4017" s="390">
        <v>46170.458240740743</v>
      </c>
      <c r="N4017" s="366" t="s">
        <v>356</v>
      </c>
      <c r="O4017" s="367" t="s">
        <v>371</v>
      </c>
      <c r="P4017" s="368" t="str">
        <f t="shared" si="176"/>
        <v>Expense</v>
      </c>
      <c r="Q4017" s="366" t="s">
        <v>2429</v>
      </c>
      <c r="R4017" s="366" t="s">
        <v>6413</v>
      </c>
      <c r="S4017" s="366" t="s">
        <v>2166</v>
      </c>
    </row>
    <row r="4018" spans="1:19" ht="15" hidden="1" outlineLevel="1">
      <c r="B4018" s="384">
        <v>2026</v>
      </c>
      <c r="C4018" s="384">
        <v>11</v>
      </c>
      <c r="D4018" s="367" t="s">
        <v>5</v>
      </c>
      <c r="E4018" s="367" t="s">
        <v>6</v>
      </c>
      <c r="F4018" s="389" t="s">
        <v>6406</v>
      </c>
      <c r="G4018" s="385">
        <v>46169</v>
      </c>
      <c r="H4018" s="367" t="s">
        <v>7</v>
      </c>
      <c r="I4018" s="368" t="str">
        <f>VLOOKUP(H4018,'[4]Source Codes'!A$2:B$115,2,FALSE)</f>
        <v>HRMS Interface Journals</v>
      </c>
      <c r="J4018" s="412">
        <v>-14766251.27</v>
      </c>
      <c r="K4018" s="385">
        <v>46170</v>
      </c>
      <c r="L4018" s="369" t="s">
        <v>407</v>
      </c>
      <c r="M4018" s="390">
        <v>46170.382986111108</v>
      </c>
      <c r="N4018" s="366" t="s">
        <v>3624</v>
      </c>
      <c r="O4018" s="367" t="s">
        <v>379</v>
      </c>
      <c r="P4018" s="368" t="str">
        <f t="shared" si="176"/>
        <v>Expense</v>
      </c>
      <c r="Q4018" s="366" t="s">
        <v>379</v>
      </c>
      <c r="R4018" s="366" t="s">
        <v>6411</v>
      </c>
      <c r="S4018" s="366" t="s">
        <v>203</v>
      </c>
    </row>
    <row r="4019" spans="1:19" ht="12.75" customHeight="1" collapsed="1">
      <c r="J4019" s="413">
        <f>SUM(J4005:J4018)</f>
        <v>30871036.23</v>
      </c>
      <c r="P4019" s="368"/>
    </row>
    <row r="4021" spans="1:19" ht="12.75" customHeight="1">
      <c r="A4021" s="378" t="s">
        <v>6419</v>
      </c>
    </row>
    <row r="4022" spans="1:19" ht="30" hidden="1" outlineLevel="1">
      <c r="B4022" s="384">
        <v>2026</v>
      </c>
      <c r="C4022" s="384">
        <v>11</v>
      </c>
      <c r="D4022" s="367" t="s">
        <v>5</v>
      </c>
      <c r="E4022" s="367" t="s">
        <v>6</v>
      </c>
      <c r="F4022" s="389" t="s">
        <v>6415</v>
      </c>
      <c r="G4022" s="385">
        <v>46171</v>
      </c>
      <c r="H4022" s="367" t="s">
        <v>14</v>
      </c>
      <c r="I4022" s="368" t="str">
        <f>VLOOKUP(H4022,'[4]Source Codes'!A$2:B$115,2,FALSE)</f>
        <v>AP Warrant Issuance</v>
      </c>
      <c r="J4022" s="412">
        <v>-1643730.19</v>
      </c>
      <c r="K4022" s="385">
        <v>46171</v>
      </c>
      <c r="L4022" s="369" t="s">
        <v>6417</v>
      </c>
      <c r="M4022" s="390">
        <v>46171.757222222222</v>
      </c>
      <c r="N4022" s="366" t="s">
        <v>356</v>
      </c>
      <c r="O4022" s="367" t="s">
        <v>357</v>
      </c>
      <c r="P4022" s="368" t="s">
        <v>2613</v>
      </c>
      <c r="Q4022" s="366" t="s">
        <v>2309</v>
      </c>
      <c r="R4022" s="366" t="s">
        <v>2310</v>
      </c>
      <c r="S4022" s="366" t="s">
        <v>203</v>
      </c>
    </row>
    <row r="4023" spans="1:19" ht="30" hidden="1" outlineLevel="1">
      <c r="B4023" s="384">
        <v>2026</v>
      </c>
      <c r="C4023" s="384">
        <v>11</v>
      </c>
      <c r="D4023" s="367" t="s">
        <v>5</v>
      </c>
      <c r="E4023" s="367" t="s">
        <v>6</v>
      </c>
      <c r="F4023" s="389" t="s">
        <v>6416</v>
      </c>
      <c r="G4023" s="385">
        <v>46171</v>
      </c>
      <c r="H4023" s="367" t="s">
        <v>14</v>
      </c>
      <c r="I4023" s="368" t="str">
        <f>VLOOKUP(H4023,'[4]Source Codes'!A$2:B$115,2,FALSE)</f>
        <v>AP Warrant Issuance</v>
      </c>
      <c r="J4023" s="412">
        <v>-1234097.93</v>
      </c>
      <c r="K4023" s="385">
        <v>46171</v>
      </c>
      <c r="L4023" s="369" t="s">
        <v>6418</v>
      </c>
      <c r="M4023" s="390">
        <v>46171.757222222222</v>
      </c>
      <c r="N4023" s="366" t="s">
        <v>356</v>
      </c>
      <c r="O4023" s="367" t="s">
        <v>368</v>
      </c>
      <c r="P4023" s="368" t="s">
        <v>2613</v>
      </c>
      <c r="Q4023" s="366" t="s">
        <v>5835</v>
      </c>
      <c r="R4023" s="366" t="s">
        <v>5835</v>
      </c>
      <c r="S4023" s="366" t="s">
        <v>203</v>
      </c>
    </row>
    <row r="4024" spans="1:19" ht="12.75" customHeight="1" collapsed="1">
      <c r="J4024" s="413">
        <f>SUM(J4022:J4023)</f>
        <v>-2877828.12</v>
      </c>
    </row>
    <row r="4026" spans="1:19" ht="12.75" customHeight="1">
      <c r="A4026" s="378" t="s">
        <v>6420</v>
      </c>
    </row>
    <row r="4027" spans="1:19" ht="60" hidden="1" outlineLevel="1">
      <c r="B4027" s="384">
        <v>2026</v>
      </c>
      <c r="C4027" s="384">
        <v>11</v>
      </c>
      <c r="D4027" s="367" t="s">
        <v>5</v>
      </c>
      <c r="E4027" s="367" t="s">
        <v>6</v>
      </c>
      <c r="F4027" s="389" t="s">
        <v>6421</v>
      </c>
      <c r="G4027" s="385">
        <v>46168</v>
      </c>
      <c r="H4027" s="367" t="s">
        <v>12</v>
      </c>
      <c r="I4027" s="368" t="str">
        <f>VLOOKUP(H4027,'[4]Source Codes'!A$2:B$115,2,FALSE)</f>
        <v>AR Direct Cash Journal</v>
      </c>
      <c r="J4027" s="412">
        <v>17021966.25</v>
      </c>
      <c r="K4027" s="385">
        <v>46174</v>
      </c>
      <c r="L4027" s="369" t="s">
        <v>6426</v>
      </c>
      <c r="M4027" s="390">
        <v>46174.752442129633</v>
      </c>
      <c r="N4027" s="366" t="s">
        <v>356</v>
      </c>
      <c r="O4027" s="367" t="s">
        <v>368</v>
      </c>
      <c r="P4027" s="368" t="s">
        <v>2290</v>
      </c>
      <c r="Q4027" s="366" t="s">
        <v>2177</v>
      </c>
      <c r="R4027" s="366" t="s">
        <v>2214</v>
      </c>
      <c r="S4027" s="366" t="s">
        <v>6179</v>
      </c>
    </row>
    <row r="4028" spans="1:19" ht="30" hidden="1" outlineLevel="1">
      <c r="B4028" s="384">
        <v>2026</v>
      </c>
      <c r="C4028" s="384">
        <v>12</v>
      </c>
      <c r="D4028" s="367" t="s">
        <v>5</v>
      </c>
      <c r="E4028" s="367" t="s">
        <v>6</v>
      </c>
      <c r="F4028" s="389" t="s">
        <v>6422</v>
      </c>
      <c r="G4028" s="385">
        <v>46174</v>
      </c>
      <c r="H4028" s="367" t="s">
        <v>11</v>
      </c>
      <c r="I4028" s="368" t="str">
        <f>VLOOKUP(H4028,'[4]Source Codes'!A$2:B$115,2,FALSE)</f>
        <v>AR Payments</v>
      </c>
      <c r="J4028" s="412">
        <v>1201951.54</v>
      </c>
      <c r="K4028" s="385">
        <v>46174</v>
      </c>
      <c r="L4028" s="369" t="s">
        <v>6427</v>
      </c>
      <c r="M4028" s="390">
        <v>46174.752442129633</v>
      </c>
      <c r="N4028" s="366" t="s">
        <v>2185</v>
      </c>
      <c r="O4028" s="367" t="s">
        <v>5367</v>
      </c>
      <c r="P4028" s="368" t="s">
        <v>2290</v>
      </c>
      <c r="Q4028" s="366" t="s">
        <v>5368</v>
      </c>
      <c r="R4028" s="366" t="s">
        <v>5368</v>
      </c>
      <c r="S4028" s="366">
        <v>118501</v>
      </c>
    </row>
    <row r="4029" spans="1:19" ht="90" hidden="1" outlineLevel="1">
      <c r="B4029" s="384">
        <v>2026</v>
      </c>
      <c r="C4029" s="384">
        <v>12</v>
      </c>
      <c r="D4029" s="367" t="s">
        <v>5</v>
      </c>
      <c r="E4029" s="367" t="s">
        <v>6</v>
      </c>
      <c r="F4029" s="389" t="s">
        <v>6423</v>
      </c>
      <c r="G4029" s="385">
        <v>46174</v>
      </c>
      <c r="H4029" s="367" t="s">
        <v>11</v>
      </c>
      <c r="I4029" s="368" t="str">
        <f>VLOOKUP(H4029,'[4]Source Codes'!A$2:B$115,2,FALSE)</f>
        <v>AR Payments</v>
      </c>
      <c r="J4029" s="412">
        <v>6133479.3899999997</v>
      </c>
      <c r="K4029" s="385">
        <v>46174</v>
      </c>
      <c r="L4029" s="369" t="s">
        <v>6428</v>
      </c>
      <c r="M4029" s="390">
        <v>46174.752442129633</v>
      </c>
      <c r="N4029" s="366" t="s">
        <v>356</v>
      </c>
      <c r="O4029" s="367" t="s">
        <v>357</v>
      </c>
      <c r="P4029" s="368" t="s">
        <v>2290</v>
      </c>
      <c r="Q4029" s="366" t="s">
        <v>2157</v>
      </c>
      <c r="R4029" s="366" t="s">
        <v>2157</v>
      </c>
      <c r="S4029" s="366" t="s">
        <v>3159</v>
      </c>
    </row>
    <row r="4030" spans="1:19" ht="45" hidden="1" outlineLevel="1">
      <c r="B4030" s="384">
        <v>2026</v>
      </c>
      <c r="C4030" s="384">
        <v>11</v>
      </c>
      <c r="D4030" s="367" t="s">
        <v>5</v>
      </c>
      <c r="E4030" s="367" t="s">
        <v>6</v>
      </c>
      <c r="F4030" s="389" t="s">
        <v>6424</v>
      </c>
      <c r="G4030" s="385">
        <v>46168</v>
      </c>
      <c r="H4030" s="367" t="s">
        <v>9</v>
      </c>
      <c r="I4030" s="368" t="str">
        <f>VLOOKUP(H4030,'[4]Source Codes'!A$2:B$115,2,FALSE)</f>
        <v>On Line Journal Entries</v>
      </c>
      <c r="J4030" s="412">
        <v>6053934</v>
      </c>
      <c r="K4030" s="385">
        <v>46174</v>
      </c>
      <c r="L4030" s="369" t="s">
        <v>352</v>
      </c>
      <c r="M4030" s="390">
        <v>46174.871018518519</v>
      </c>
      <c r="N4030" s="366" t="s">
        <v>359</v>
      </c>
      <c r="O4030" s="367" t="s">
        <v>364</v>
      </c>
      <c r="P4030" s="368" t="s">
        <v>2290</v>
      </c>
      <c r="Q4030" s="366" t="s">
        <v>2232</v>
      </c>
      <c r="R4030" s="366" t="s">
        <v>2232</v>
      </c>
      <c r="S4030" s="366" t="s">
        <v>2789</v>
      </c>
    </row>
    <row r="4031" spans="1:19" ht="30" hidden="1" outlineLevel="1">
      <c r="B4031" s="384">
        <v>2026</v>
      </c>
      <c r="C4031" s="384">
        <v>11</v>
      </c>
      <c r="D4031" s="367" t="s">
        <v>5</v>
      </c>
      <c r="E4031" s="367" t="s">
        <v>6</v>
      </c>
      <c r="F4031" s="389" t="s">
        <v>6425</v>
      </c>
      <c r="G4031" s="385">
        <v>46168</v>
      </c>
      <c r="H4031" s="367" t="s">
        <v>9</v>
      </c>
      <c r="I4031" s="368" t="str">
        <f>VLOOKUP(H4031,'[4]Source Codes'!A$2:B$115,2,FALSE)</f>
        <v>On Line Journal Entries</v>
      </c>
      <c r="J4031" s="412">
        <v>4975302</v>
      </c>
      <c r="K4031" s="385">
        <v>46174</v>
      </c>
      <c r="L4031" s="369" t="s">
        <v>334</v>
      </c>
      <c r="M4031" s="390">
        <v>46174.871018518519</v>
      </c>
      <c r="N4031" s="366" t="s">
        <v>356</v>
      </c>
      <c r="O4031" s="367" t="s">
        <v>364</v>
      </c>
      <c r="P4031" s="368" t="s">
        <v>2290</v>
      </c>
      <c r="Q4031" s="366" t="s">
        <v>2232</v>
      </c>
      <c r="R4031" s="366" t="s">
        <v>2232</v>
      </c>
      <c r="S4031" s="366">
        <v>750741</v>
      </c>
    </row>
    <row r="4032" spans="1:19" ht="12.75" customHeight="1" collapsed="1">
      <c r="H4032"/>
      <c r="J4032" s="413">
        <f>SUM(J4027:J4031)</f>
        <v>35386633.18</v>
      </c>
    </row>
    <row r="4034" spans="1:19" ht="12.75" customHeight="1">
      <c r="A4034" s="378" t="s">
        <v>6429</v>
      </c>
    </row>
    <row r="4035" spans="1:19" ht="30" hidden="1" outlineLevel="1">
      <c r="B4035" s="384">
        <v>2026</v>
      </c>
      <c r="C4035" s="384">
        <v>12</v>
      </c>
      <c r="D4035" s="367" t="s">
        <v>5</v>
      </c>
      <c r="E4035" s="367" t="s">
        <v>6</v>
      </c>
      <c r="F4035" s="389" t="s">
        <v>6430</v>
      </c>
      <c r="G4035" s="385">
        <v>46174</v>
      </c>
      <c r="H4035" s="367" t="s">
        <v>16</v>
      </c>
      <c r="I4035" s="368" t="str">
        <f>VLOOKUP(H4035,'[4]Source Codes'!A$2:B$115,2,FALSE)</f>
        <v>Property Tax Interface</v>
      </c>
      <c r="J4035" s="412">
        <v>173880533.16</v>
      </c>
      <c r="K4035" s="385">
        <v>46175</v>
      </c>
      <c r="L4035" s="369" t="s">
        <v>6433</v>
      </c>
      <c r="M4035" s="390">
        <v>46175.460706018515</v>
      </c>
      <c r="N4035" s="368" t="s">
        <v>387</v>
      </c>
      <c r="O4035" s="367" t="s">
        <v>384</v>
      </c>
      <c r="P4035" s="368" t="s">
        <v>2290</v>
      </c>
      <c r="Q4035" s="366" t="s">
        <v>2266</v>
      </c>
      <c r="R4035" s="366" t="s">
        <v>6441</v>
      </c>
      <c r="S4035" s="366" t="s">
        <v>2425</v>
      </c>
    </row>
    <row r="4036" spans="1:19" ht="15" hidden="1" outlineLevel="1">
      <c r="B4036" s="384">
        <v>2026</v>
      </c>
      <c r="C4036" s="384">
        <v>11</v>
      </c>
      <c r="D4036" s="367" t="s">
        <v>5</v>
      </c>
      <c r="E4036" s="367" t="s">
        <v>6</v>
      </c>
      <c r="F4036" s="389" t="s">
        <v>6431</v>
      </c>
      <c r="G4036" s="385">
        <v>46168</v>
      </c>
      <c r="H4036" s="367" t="s">
        <v>9</v>
      </c>
      <c r="I4036" s="368" t="str">
        <f>VLOOKUP(H4036,'[4]Source Codes'!A$2:B$115,2,FALSE)</f>
        <v>On Line Journal Entries</v>
      </c>
      <c r="J4036" s="412">
        <v>1174064.1100000001</v>
      </c>
      <c r="K4036" s="385">
        <v>46175</v>
      </c>
      <c r="L4036" s="369" t="s">
        <v>6434</v>
      </c>
      <c r="M4036" s="390">
        <v>46175.870324074072</v>
      </c>
      <c r="N4036" s="366" t="s">
        <v>361</v>
      </c>
      <c r="O4036" s="367" t="s">
        <v>376</v>
      </c>
      <c r="P4036" s="368" t="s">
        <v>2290</v>
      </c>
      <c r="Q4036" s="366" t="s">
        <v>4230</v>
      </c>
      <c r="R4036" s="366" t="s">
        <v>6438</v>
      </c>
      <c r="S4036" s="366">
        <v>752403</v>
      </c>
    </row>
    <row r="4037" spans="1:19" ht="30" hidden="1" outlineLevel="1">
      <c r="B4037" s="384">
        <v>2026</v>
      </c>
      <c r="C4037" s="384">
        <v>11</v>
      </c>
      <c r="D4037" s="367" t="s">
        <v>5</v>
      </c>
      <c r="E4037" s="367" t="s">
        <v>6</v>
      </c>
      <c r="F4037" s="389" t="s">
        <v>6432</v>
      </c>
      <c r="G4037" s="385">
        <v>46160</v>
      </c>
      <c r="H4037" s="367" t="s">
        <v>9</v>
      </c>
      <c r="I4037" s="368" t="str">
        <f>VLOOKUP(H4037,'[4]Source Codes'!A$2:B$115,2,FALSE)</f>
        <v>On Line Journal Entries</v>
      </c>
      <c r="J4037" s="412">
        <v>1076966.21</v>
      </c>
      <c r="K4037" s="385">
        <v>46175</v>
      </c>
      <c r="L4037" s="369" t="s">
        <v>6435</v>
      </c>
      <c r="M4037" s="390">
        <v>46175.870324074072</v>
      </c>
      <c r="N4037" s="366" t="s">
        <v>2185</v>
      </c>
      <c r="O4037" s="367" t="s">
        <v>385</v>
      </c>
      <c r="P4037" s="368" t="str">
        <f t="shared" ref="P4037" si="177">IF(J4037&gt;0,"Revenue",IF(J4037&lt;0,"Expense"))</f>
        <v>Revenue</v>
      </c>
      <c r="Q4037" s="366" t="s">
        <v>6439</v>
      </c>
      <c r="R4037" s="366" t="s">
        <v>6439</v>
      </c>
      <c r="S4037" s="366">
        <v>767220</v>
      </c>
    </row>
    <row r="4038" spans="1:19" ht="12.75" hidden="1" customHeight="1" outlineLevel="1">
      <c r="B4038" s="384">
        <v>2026</v>
      </c>
      <c r="C4038" s="384">
        <v>11</v>
      </c>
      <c r="D4038" s="367" t="s">
        <v>5</v>
      </c>
      <c r="E4038" s="367" t="s">
        <v>6</v>
      </c>
      <c r="F4038" s="389" t="s">
        <v>6436</v>
      </c>
      <c r="G4038" s="385">
        <v>46162</v>
      </c>
      <c r="H4038" s="367" t="s">
        <v>337</v>
      </c>
      <c r="I4038" s="368" t="str">
        <f>VLOOKUP(H4038,'[4]Source Codes'!A$2:B$115,2,FALSE)</f>
        <v>Facilities Mngmnt Intfc Jrnls</v>
      </c>
      <c r="J4038" s="412">
        <v>-4525988.93</v>
      </c>
      <c r="K4038" s="385">
        <v>46175</v>
      </c>
      <c r="L4038" s="369" t="s">
        <v>6437</v>
      </c>
      <c r="M4038" s="390">
        <v>46175.6797337963</v>
      </c>
      <c r="N4038" s="366" t="s">
        <v>356</v>
      </c>
      <c r="O4038" s="367" t="s">
        <v>367</v>
      </c>
      <c r="P4038" s="368" t="s">
        <v>2613</v>
      </c>
      <c r="Q4038" s="366" t="s">
        <v>2237</v>
      </c>
      <c r="R4038" s="366" t="s">
        <v>6440</v>
      </c>
      <c r="S4038" s="366" t="s">
        <v>5661</v>
      </c>
    </row>
    <row r="4039" spans="1:19" ht="12.75" customHeight="1" collapsed="1">
      <c r="I4039" s="368"/>
      <c r="J4039" s="413">
        <f>SUM(J4035:J4038)</f>
        <v>171605574.55000001</v>
      </c>
      <c r="P4039" s="368"/>
    </row>
    <row r="4040" spans="1:19" ht="12.75" customHeight="1">
      <c r="I4040" s="368"/>
      <c r="P4040" s="368"/>
    </row>
    <row r="4041" spans="1:19" ht="12.75" customHeight="1">
      <c r="A4041" s="378" t="s">
        <v>6442</v>
      </c>
      <c r="I4041" s="368"/>
      <c r="P4041" s="368"/>
    </row>
    <row r="4042" spans="1:19" ht="120" hidden="1" outlineLevel="1">
      <c r="B4042" s="384">
        <v>2026</v>
      </c>
      <c r="C4042" s="384">
        <v>12</v>
      </c>
      <c r="D4042" s="367" t="s">
        <v>5</v>
      </c>
      <c r="E4042" s="367" t="s">
        <v>6</v>
      </c>
      <c r="F4042" s="389" t="s">
        <v>6443</v>
      </c>
      <c r="G4042" s="385">
        <v>46178</v>
      </c>
      <c r="H4042" s="367" t="s">
        <v>14</v>
      </c>
      <c r="I4042" s="368" t="str">
        <f>VLOOKUP(H4042,'[4]Source Codes'!A$2:B$115,2,FALSE)</f>
        <v>AP Warrant Issuance</v>
      </c>
      <c r="J4042" s="412">
        <v>-16379820.609999999</v>
      </c>
      <c r="K4042" s="385">
        <v>46176</v>
      </c>
      <c r="L4042" s="369" t="s">
        <v>6457</v>
      </c>
      <c r="M4042" s="390">
        <v>46176.758969907409</v>
      </c>
      <c r="N4042" s="366" t="s">
        <v>356</v>
      </c>
      <c r="O4042" s="367" t="s">
        <v>364</v>
      </c>
      <c r="P4042" s="368" t="str">
        <f t="shared" ref="P4042:P4045" si="178">IF(J4042&gt;0,"Revenue",IF(J4042&lt;0,"Expense"))</f>
        <v>Expense</v>
      </c>
      <c r="Q4042" s="366" t="s">
        <v>6253</v>
      </c>
      <c r="R4042" s="365">
        <v>46174</v>
      </c>
      <c r="S4042" s="366">
        <v>530440</v>
      </c>
    </row>
    <row r="4043" spans="1:19" ht="60" hidden="1" outlineLevel="1">
      <c r="B4043" s="384">
        <v>2026</v>
      </c>
      <c r="C4043" s="384">
        <v>12</v>
      </c>
      <c r="D4043" s="367" t="s">
        <v>5</v>
      </c>
      <c r="E4043" s="367" t="s">
        <v>6</v>
      </c>
      <c r="F4043" s="389" t="s">
        <v>6444</v>
      </c>
      <c r="G4043" s="385">
        <v>46178</v>
      </c>
      <c r="H4043" s="367" t="s">
        <v>14</v>
      </c>
      <c r="I4043" s="368" t="str">
        <f>VLOOKUP(H4043,'[4]Source Codes'!A$2:B$115,2,FALSE)</f>
        <v>AP Warrant Issuance</v>
      </c>
      <c r="J4043" s="412">
        <v>-6701954.5300000003</v>
      </c>
      <c r="K4043" s="385">
        <v>46176</v>
      </c>
      <c r="L4043" s="369" t="s">
        <v>6446</v>
      </c>
      <c r="M4043" s="390">
        <v>46176.758969907409</v>
      </c>
      <c r="N4043" s="366" t="s">
        <v>356</v>
      </c>
      <c r="O4043" s="367" t="s">
        <v>368</v>
      </c>
      <c r="P4043" s="368" t="str">
        <f t="shared" si="178"/>
        <v>Expense</v>
      </c>
      <c r="Q4043" s="366" t="s">
        <v>2154</v>
      </c>
      <c r="R4043" s="366" t="s">
        <v>2154</v>
      </c>
      <c r="S4043" s="366">
        <v>530280</v>
      </c>
    </row>
    <row r="4044" spans="1:19" ht="30" hidden="1" outlineLevel="1">
      <c r="B4044" s="384">
        <v>2026</v>
      </c>
      <c r="C4044" s="384">
        <v>12</v>
      </c>
      <c r="D4044" s="367" t="s">
        <v>5</v>
      </c>
      <c r="E4044" s="367" t="s">
        <v>6</v>
      </c>
      <c r="F4044" s="389" t="s">
        <v>6445</v>
      </c>
      <c r="G4044" s="385">
        <v>46176</v>
      </c>
      <c r="H4044" s="367" t="s">
        <v>14</v>
      </c>
      <c r="I4044" s="368" t="str">
        <f>VLOOKUP(H4044,'[4]Source Codes'!A$2:B$115,2,FALSE)</f>
        <v>AP Warrant Issuance</v>
      </c>
      <c r="J4044" s="412">
        <v>-2186366.2599999998</v>
      </c>
      <c r="K4044" s="385">
        <v>46176</v>
      </c>
      <c r="L4044" s="369" t="s">
        <v>6447</v>
      </c>
      <c r="M4044" s="390">
        <v>46176.758969907409</v>
      </c>
      <c r="N4044" s="366" t="s">
        <v>356</v>
      </c>
      <c r="O4044" s="367" t="s">
        <v>368</v>
      </c>
      <c r="P4044" s="368" t="str">
        <f t="shared" si="178"/>
        <v>Expense</v>
      </c>
      <c r="Q4044" s="366" t="s">
        <v>2154</v>
      </c>
      <c r="R4044" s="366" t="s">
        <v>2154</v>
      </c>
      <c r="S4044" s="366" t="s">
        <v>203</v>
      </c>
    </row>
    <row r="4045" spans="1:19" ht="30" hidden="1" outlineLevel="1">
      <c r="B4045" s="384">
        <v>2026</v>
      </c>
      <c r="C4045" s="384">
        <v>11</v>
      </c>
      <c r="D4045" s="367" t="s">
        <v>5</v>
      </c>
      <c r="E4045" s="367" t="s">
        <v>6</v>
      </c>
      <c r="F4045" s="389" t="s">
        <v>6448</v>
      </c>
      <c r="G4045" s="385">
        <v>46143</v>
      </c>
      <c r="H4045" s="367" t="s">
        <v>9</v>
      </c>
      <c r="I4045" s="368" t="str">
        <f>VLOOKUP(H4045,'[4]Source Codes'!A$2:B$115,2,FALSE)</f>
        <v>On Line Journal Entries</v>
      </c>
      <c r="J4045" s="412">
        <v>-1276909.1299999999</v>
      </c>
      <c r="K4045" s="385">
        <v>46176</v>
      </c>
      <c r="L4045" s="369" t="s">
        <v>6449</v>
      </c>
      <c r="M4045" s="390">
        <v>46176.656689814816</v>
      </c>
      <c r="N4045" s="366" t="s">
        <v>4274</v>
      </c>
      <c r="O4045" s="367" t="s">
        <v>504</v>
      </c>
      <c r="P4045" s="368" t="str">
        <f t="shared" si="178"/>
        <v>Expense</v>
      </c>
      <c r="Q4045" s="366" t="s">
        <v>3554</v>
      </c>
      <c r="R4045" s="365" t="s">
        <v>3555</v>
      </c>
      <c r="S4045" s="366">
        <v>551100</v>
      </c>
    </row>
    <row r="4046" spans="1:19" ht="12.75" customHeight="1" collapsed="1">
      <c r="J4046" s="413">
        <f>SUM(J4042:J4045)</f>
        <v>-26545050.529999997</v>
      </c>
    </row>
    <row r="4048" spans="1:19" ht="12.75" customHeight="1">
      <c r="A4048" s="378" t="s">
        <v>6450</v>
      </c>
    </row>
    <row r="4049" spans="1:19" ht="105" hidden="1" outlineLevel="1">
      <c r="B4049" s="384">
        <v>2026</v>
      </c>
      <c r="C4049" s="384">
        <v>12</v>
      </c>
      <c r="D4049" s="367" t="s">
        <v>5</v>
      </c>
      <c r="E4049" s="367" t="s">
        <v>6</v>
      </c>
      <c r="F4049" s="389" t="s">
        <v>6451</v>
      </c>
      <c r="G4049" s="385">
        <v>46176</v>
      </c>
      <c r="H4049" s="367" t="s">
        <v>11</v>
      </c>
      <c r="I4049" s="368" t="str">
        <f>VLOOKUP(H4049,'[4]Source Codes'!A$2:B$115,2,FALSE)</f>
        <v>AR Payments</v>
      </c>
      <c r="J4049" s="412">
        <v>3662252.14</v>
      </c>
      <c r="K4049" s="385">
        <v>46177</v>
      </c>
      <c r="L4049" s="369" t="s">
        <v>6458</v>
      </c>
      <c r="M4049" s="390">
        <v>46177.752106481479</v>
      </c>
      <c r="N4049" s="366" t="s">
        <v>359</v>
      </c>
      <c r="O4049" s="367" t="s">
        <v>357</v>
      </c>
      <c r="P4049" s="368" t="str">
        <f t="shared" ref="P4049:P4053" si="179">IF(J4049&gt;0,"Revenue",IF(J4049&lt;0,"Expense"))</f>
        <v>Revenue</v>
      </c>
      <c r="Q4049" s="366" t="s">
        <v>2157</v>
      </c>
      <c r="R4049" s="366" t="s">
        <v>2157</v>
      </c>
      <c r="S4049" s="366" t="s">
        <v>2803</v>
      </c>
    </row>
    <row r="4050" spans="1:19" ht="30" hidden="1" outlineLevel="1">
      <c r="B4050" s="384">
        <v>2026</v>
      </c>
      <c r="C4050" s="384">
        <v>12</v>
      </c>
      <c r="D4050" s="367" t="s">
        <v>5</v>
      </c>
      <c r="E4050" s="367" t="s">
        <v>6</v>
      </c>
      <c r="F4050" s="389" t="s">
        <v>6452</v>
      </c>
      <c r="G4050" s="385">
        <v>46177</v>
      </c>
      <c r="H4050" s="367" t="s">
        <v>11</v>
      </c>
      <c r="I4050" s="368" t="str">
        <f>VLOOKUP(H4050,'[4]Source Codes'!A$2:B$115,2,FALSE)</f>
        <v>AR Payments</v>
      </c>
      <c r="J4050" s="412">
        <v>3839179.95</v>
      </c>
      <c r="K4050" s="385">
        <v>46177</v>
      </c>
      <c r="L4050" s="369" t="s">
        <v>2732</v>
      </c>
      <c r="M4050" s="390">
        <v>46177.752106481479</v>
      </c>
      <c r="N4050" s="366" t="s">
        <v>359</v>
      </c>
      <c r="O4050" s="367" t="s">
        <v>357</v>
      </c>
      <c r="P4050" s="368" t="str">
        <f t="shared" si="179"/>
        <v>Revenue</v>
      </c>
      <c r="Q4050" s="366" t="s">
        <v>2157</v>
      </c>
      <c r="R4050" s="366" t="s">
        <v>2157</v>
      </c>
      <c r="S4050" s="366">
        <v>118501</v>
      </c>
    </row>
    <row r="4051" spans="1:19" ht="30" hidden="1" outlineLevel="1">
      <c r="B4051" s="384">
        <v>2026</v>
      </c>
      <c r="C4051" s="384">
        <v>11</v>
      </c>
      <c r="D4051" s="367" t="s">
        <v>5</v>
      </c>
      <c r="E4051" s="367" t="s">
        <v>6</v>
      </c>
      <c r="F4051" s="389" t="s">
        <v>6453</v>
      </c>
      <c r="G4051" s="385">
        <v>46168</v>
      </c>
      <c r="H4051" s="367" t="s">
        <v>9</v>
      </c>
      <c r="I4051" s="368" t="str">
        <f>VLOOKUP(H4051,'[4]Source Codes'!A$2:B$115,2,FALSE)</f>
        <v>On Line Journal Entries</v>
      </c>
      <c r="J4051" s="412">
        <v>1621222.87</v>
      </c>
      <c r="K4051" s="385">
        <v>46177</v>
      </c>
      <c r="L4051" s="369" t="s">
        <v>6456</v>
      </c>
      <c r="M4051" s="390">
        <v>46177.583067129628</v>
      </c>
      <c r="N4051" s="366" t="s">
        <v>361</v>
      </c>
      <c r="O4051" s="367" t="s">
        <v>376</v>
      </c>
      <c r="P4051" s="368" t="str">
        <f t="shared" si="179"/>
        <v>Revenue</v>
      </c>
      <c r="Q4051" s="366" t="s">
        <v>2685</v>
      </c>
      <c r="R4051" s="365" t="s">
        <v>6459</v>
      </c>
      <c r="S4051" s="366">
        <v>755931</v>
      </c>
    </row>
    <row r="4052" spans="1:19" ht="30" hidden="1" outlineLevel="1">
      <c r="B4052" s="384">
        <v>2026</v>
      </c>
      <c r="C4052" s="384">
        <v>12</v>
      </c>
      <c r="D4052" s="367" t="s">
        <v>5</v>
      </c>
      <c r="E4052" s="367" t="s">
        <v>6</v>
      </c>
      <c r="F4052" s="389" t="s">
        <v>6454</v>
      </c>
      <c r="G4052" s="385">
        <v>46176</v>
      </c>
      <c r="H4052" s="367" t="s">
        <v>9</v>
      </c>
      <c r="I4052" s="368" t="str">
        <f>VLOOKUP(H4052,'[4]Source Codes'!A$2:B$115,2,FALSE)</f>
        <v>On Line Journal Entries</v>
      </c>
      <c r="J4052" s="412">
        <v>-1444500</v>
      </c>
      <c r="K4052" s="385">
        <v>46177</v>
      </c>
      <c r="L4052" s="369" t="s">
        <v>6460</v>
      </c>
      <c r="M4052" s="390">
        <v>46177.871377314812</v>
      </c>
      <c r="N4052" s="368" t="s">
        <v>387</v>
      </c>
      <c r="O4052" s="368" t="s">
        <v>358</v>
      </c>
      <c r="P4052" s="368" t="str">
        <f t="shared" si="179"/>
        <v>Expense</v>
      </c>
      <c r="Q4052" s="366" t="s">
        <v>3420</v>
      </c>
      <c r="R4052" s="365" t="s">
        <v>6461</v>
      </c>
      <c r="S4052" s="366">
        <v>551100</v>
      </c>
    </row>
    <row r="4053" spans="1:19" ht="15" hidden="1" outlineLevel="1">
      <c r="B4053" s="384">
        <v>2026</v>
      </c>
      <c r="C4053" s="384">
        <v>11</v>
      </c>
      <c r="D4053" s="367" t="s">
        <v>5</v>
      </c>
      <c r="E4053" s="367" t="s">
        <v>6</v>
      </c>
      <c r="F4053" s="389" t="s">
        <v>6455</v>
      </c>
      <c r="G4053" s="385">
        <v>46169</v>
      </c>
      <c r="H4053" s="367" t="s">
        <v>7</v>
      </c>
      <c r="I4053" s="368" t="str">
        <f>VLOOKUP(H4053,'[4]Source Codes'!A$2:B$115,2,FALSE)</f>
        <v>HRMS Interface Journals</v>
      </c>
      <c r="J4053" s="412">
        <v>-79172780.469999999</v>
      </c>
      <c r="K4053" s="385">
        <v>46177</v>
      </c>
      <c r="L4053" s="369" t="s">
        <v>406</v>
      </c>
      <c r="M4053" s="390">
        <v>46177.344166666669</v>
      </c>
      <c r="N4053" s="366" t="s">
        <v>3624</v>
      </c>
      <c r="O4053" s="367" t="s">
        <v>371</v>
      </c>
      <c r="P4053" s="368" t="str">
        <f t="shared" si="179"/>
        <v>Expense</v>
      </c>
      <c r="Q4053" s="366" t="s">
        <v>379</v>
      </c>
      <c r="R4053" s="366" t="s">
        <v>6411</v>
      </c>
      <c r="S4053" s="366" t="s">
        <v>203</v>
      </c>
    </row>
    <row r="4054" spans="1:19" ht="15" collapsed="1">
      <c r="J4054" s="413">
        <f>SUM(J4049:J4053)</f>
        <v>-71494625.50999999</v>
      </c>
    </row>
    <row r="4056" spans="1:19" ht="12.75" customHeight="1">
      <c r="A4056" s="378" t="s">
        <v>6462</v>
      </c>
    </row>
    <row r="4057" spans="1:19" ht="30" hidden="1" outlineLevel="1">
      <c r="B4057" s="384">
        <v>2026</v>
      </c>
      <c r="C4057" s="384">
        <v>12</v>
      </c>
      <c r="D4057" s="367" t="s">
        <v>5</v>
      </c>
      <c r="E4057" s="367" t="s">
        <v>6</v>
      </c>
      <c r="F4057" s="389" t="s">
        <v>6463</v>
      </c>
      <c r="G4057" s="385">
        <v>46178</v>
      </c>
      <c r="H4057" s="367" t="s">
        <v>14</v>
      </c>
      <c r="I4057" s="368" t="str">
        <f>VLOOKUP(H4057,'[4]Source Codes'!A$2:B$115,2,FALSE)</f>
        <v>AP Warrant Issuance</v>
      </c>
      <c r="J4057" s="412">
        <v>-1531018.61</v>
      </c>
      <c r="K4057" s="385">
        <v>46178</v>
      </c>
      <c r="L4057" s="369" t="s">
        <v>6469</v>
      </c>
      <c r="M4057" s="390">
        <v>46178.757974537039</v>
      </c>
      <c r="N4057" s="366" t="s">
        <v>356</v>
      </c>
      <c r="O4057" s="367" t="s">
        <v>364</v>
      </c>
      <c r="P4057" s="368" t="str">
        <f t="shared" ref="P4057:P4060" si="180">IF(J4057&gt;0,"Revenue",IF(J4057&lt;0,"Expense"))</f>
        <v>Expense</v>
      </c>
      <c r="Q4057" s="366" t="s">
        <v>2344</v>
      </c>
      <c r="R4057" s="366" t="s">
        <v>2344</v>
      </c>
      <c r="S4057" s="366" t="s">
        <v>203</v>
      </c>
    </row>
    <row r="4058" spans="1:19" ht="75" hidden="1" outlineLevel="1">
      <c r="B4058" s="384">
        <v>2026</v>
      </c>
      <c r="C4058" s="384">
        <v>12</v>
      </c>
      <c r="D4058" s="367" t="s">
        <v>5</v>
      </c>
      <c r="E4058" s="367" t="s">
        <v>6</v>
      </c>
      <c r="F4058" s="389" t="s">
        <v>6464</v>
      </c>
      <c r="G4058" s="385">
        <v>46178</v>
      </c>
      <c r="H4058" s="367" t="s">
        <v>11</v>
      </c>
      <c r="I4058" s="368" t="str">
        <f>VLOOKUP(H4058,'[4]Source Codes'!A$2:B$115,2,FALSE)</f>
        <v>AR Payments</v>
      </c>
      <c r="J4058" s="412">
        <v>1187559.48</v>
      </c>
      <c r="K4058" s="385">
        <v>46178</v>
      </c>
      <c r="L4058" s="369" t="s">
        <v>6470</v>
      </c>
      <c r="M4058" s="390">
        <v>46178.75203703704</v>
      </c>
      <c r="N4058" s="366" t="s">
        <v>359</v>
      </c>
      <c r="O4058" s="367" t="s">
        <v>357</v>
      </c>
      <c r="P4058" s="368" t="str">
        <f t="shared" si="180"/>
        <v>Revenue</v>
      </c>
      <c r="Q4058" s="366" t="s">
        <v>2157</v>
      </c>
      <c r="R4058" s="366" t="s">
        <v>2157</v>
      </c>
      <c r="S4058" s="366" t="s">
        <v>2531</v>
      </c>
    </row>
    <row r="4059" spans="1:19" ht="15" hidden="1" outlineLevel="1">
      <c r="B4059" s="384">
        <v>2026</v>
      </c>
      <c r="C4059" s="384">
        <v>12</v>
      </c>
      <c r="D4059" s="367" t="s">
        <v>5</v>
      </c>
      <c r="E4059" s="367" t="s">
        <v>6</v>
      </c>
      <c r="F4059" s="389" t="s">
        <v>6465</v>
      </c>
      <c r="G4059" s="385">
        <v>46174</v>
      </c>
      <c r="H4059" s="367" t="s">
        <v>337</v>
      </c>
      <c r="I4059" s="368" t="str">
        <f>VLOOKUP(H4059,'[4]Source Codes'!A$2:B$115,2,FALSE)</f>
        <v>Facilities Mngmnt Intfc Jrnls</v>
      </c>
      <c r="J4059" s="412">
        <v>-1174682.03</v>
      </c>
      <c r="K4059" s="385">
        <v>46178</v>
      </c>
      <c r="L4059" s="369" t="s">
        <v>6467</v>
      </c>
      <c r="M4059" s="390">
        <v>46178.510601851849</v>
      </c>
      <c r="N4059" s="366" t="s">
        <v>356</v>
      </c>
      <c r="O4059" s="367" t="s">
        <v>367</v>
      </c>
      <c r="P4059" s="368" t="str">
        <f t="shared" si="180"/>
        <v>Expense</v>
      </c>
      <c r="Q4059" s="366" t="s">
        <v>2337</v>
      </c>
      <c r="R4059" s="366" t="s">
        <v>6471</v>
      </c>
      <c r="S4059" s="366">
        <v>522365</v>
      </c>
    </row>
    <row r="4060" spans="1:19" ht="30" hidden="1" outlineLevel="1">
      <c r="B4060" s="384">
        <v>2026</v>
      </c>
      <c r="C4060" s="384">
        <v>12</v>
      </c>
      <c r="D4060" s="367" t="s">
        <v>5</v>
      </c>
      <c r="E4060" s="367" t="s">
        <v>6</v>
      </c>
      <c r="F4060" s="389" t="s">
        <v>6466</v>
      </c>
      <c r="G4060" s="385">
        <v>46174</v>
      </c>
      <c r="H4060" s="367" t="s">
        <v>9</v>
      </c>
      <c r="I4060" s="368" t="str">
        <f>VLOOKUP(H4060,'[4]Source Codes'!A$2:B$115,2,FALSE)</f>
        <v>On Line Journal Entries</v>
      </c>
      <c r="J4060" s="412">
        <v>-19028896.350000001</v>
      </c>
      <c r="K4060" s="385">
        <v>46178</v>
      </c>
      <c r="L4060" s="369" t="s">
        <v>6468</v>
      </c>
      <c r="M4060" s="390">
        <v>46178.870995370373</v>
      </c>
      <c r="N4060" s="368" t="s">
        <v>387</v>
      </c>
      <c r="O4060" s="367" t="s">
        <v>384</v>
      </c>
      <c r="P4060" s="368" t="str">
        <f t="shared" si="180"/>
        <v>Expense</v>
      </c>
      <c r="Q4060" s="366" t="s">
        <v>2266</v>
      </c>
      <c r="R4060" s="366" t="s">
        <v>6472</v>
      </c>
      <c r="S4060" s="366">
        <v>781000</v>
      </c>
    </row>
    <row r="4061" spans="1:19" ht="15" collapsed="1">
      <c r="J4061" s="413">
        <f>SUM(J4057:J4060)</f>
        <v>-20547037.510000002</v>
      </c>
    </row>
    <row r="4062" spans="1:19" ht="12.75" customHeight="1">
      <c r="H4062" s="377" t="s">
        <v>1921</v>
      </c>
    </row>
    <row r="4063" spans="1:19" ht="12.75" customHeight="1">
      <c r="A4063" s="378" t="s">
        <v>6473</v>
      </c>
    </row>
    <row r="4064" spans="1:19" ht="30" hidden="1" outlineLevel="1">
      <c r="B4064" s="384">
        <v>2026</v>
      </c>
      <c r="C4064" s="384">
        <v>12</v>
      </c>
      <c r="D4064" s="367" t="s">
        <v>5</v>
      </c>
      <c r="E4064" s="367" t="s">
        <v>6</v>
      </c>
      <c r="F4064" s="389" t="s">
        <v>6474</v>
      </c>
      <c r="G4064" s="385">
        <v>46183</v>
      </c>
      <c r="H4064" s="367" t="s">
        <v>14</v>
      </c>
      <c r="I4064" s="368" t="str">
        <f>VLOOKUP(H4064,'[4]Source Codes'!A$2:B$115,2,FALSE)</f>
        <v>AP Warrant Issuance</v>
      </c>
      <c r="J4064" s="412">
        <v>-4434508.41</v>
      </c>
      <c r="K4064" s="385">
        <v>46181</v>
      </c>
      <c r="L4064" s="369" t="s">
        <v>6494</v>
      </c>
      <c r="M4064" s="390">
        <v>46181.758344907408</v>
      </c>
      <c r="N4064" s="366" t="s">
        <v>356</v>
      </c>
      <c r="O4064" s="367" t="s">
        <v>368</v>
      </c>
      <c r="P4064" s="368" t="str">
        <f t="shared" ref="P4064:P4074" si="181">IF(J4064&gt;0,"Revenue",IF(J4064&lt;0,"Expense"))</f>
        <v>Expense</v>
      </c>
      <c r="Q4064" s="366" t="s">
        <v>2154</v>
      </c>
      <c r="R4064" s="366" t="s">
        <v>2154</v>
      </c>
      <c r="S4064" s="366" t="s">
        <v>203</v>
      </c>
    </row>
    <row r="4065" spans="1:19" ht="30" hidden="1" outlineLevel="1">
      <c r="B4065" s="384">
        <v>2026</v>
      </c>
      <c r="C4065" s="384">
        <v>12</v>
      </c>
      <c r="D4065" s="367" t="s">
        <v>5</v>
      </c>
      <c r="E4065" s="367" t="s">
        <v>6</v>
      </c>
      <c r="F4065" s="389" t="s">
        <v>6475</v>
      </c>
      <c r="G4065" s="385">
        <v>46178</v>
      </c>
      <c r="H4065" s="367" t="s">
        <v>11</v>
      </c>
      <c r="I4065" s="368" t="str">
        <f>VLOOKUP(H4065,'[4]Source Codes'!A$2:B$115,2,FALSE)</f>
        <v>AR Payments</v>
      </c>
      <c r="J4065" s="412">
        <v>1543090.76</v>
      </c>
      <c r="K4065" s="385">
        <v>46181</v>
      </c>
      <c r="L4065" s="369" t="s">
        <v>6495</v>
      </c>
      <c r="M4065" s="390">
        <v>46181.752314814818</v>
      </c>
      <c r="N4065" s="366" t="s">
        <v>356</v>
      </c>
      <c r="O4065" s="367" t="s">
        <v>362</v>
      </c>
      <c r="P4065" s="368" t="str">
        <f t="shared" si="181"/>
        <v>Revenue</v>
      </c>
      <c r="Q4065" s="366" t="s">
        <v>3049</v>
      </c>
      <c r="R4065" s="366" t="s">
        <v>3049</v>
      </c>
      <c r="S4065" s="366" t="s">
        <v>203</v>
      </c>
    </row>
    <row r="4066" spans="1:19" ht="30" hidden="1" outlineLevel="1">
      <c r="B4066" s="384">
        <v>2026</v>
      </c>
      <c r="C4066" s="384">
        <v>12</v>
      </c>
      <c r="D4066" s="367" t="s">
        <v>5</v>
      </c>
      <c r="E4066" s="367" t="s">
        <v>6</v>
      </c>
      <c r="F4066" s="389" t="s">
        <v>6476</v>
      </c>
      <c r="G4066" s="385">
        <v>46175</v>
      </c>
      <c r="H4066" s="367" t="s">
        <v>9</v>
      </c>
      <c r="I4066" s="368" t="str">
        <f>VLOOKUP(H4066,'[4]Source Codes'!A$2:B$115,2,FALSE)</f>
        <v>On Line Journal Entries</v>
      </c>
      <c r="J4066" s="412">
        <v>18476178.300000001</v>
      </c>
      <c r="K4066" s="385">
        <v>46181</v>
      </c>
      <c r="L4066" s="369" t="s">
        <v>6485</v>
      </c>
      <c r="M4066" s="390">
        <v>46181.86986111111</v>
      </c>
      <c r="N4066" s="368" t="s">
        <v>387</v>
      </c>
      <c r="O4066" s="368" t="s">
        <v>371</v>
      </c>
      <c r="P4066" s="368" t="str">
        <f t="shared" si="181"/>
        <v>Revenue</v>
      </c>
      <c r="Q4066" s="366" t="s">
        <v>6496</v>
      </c>
      <c r="R4066" s="365" t="s">
        <v>6496</v>
      </c>
      <c r="S4066" s="366">
        <v>132600</v>
      </c>
    </row>
    <row r="4067" spans="1:19" ht="30" hidden="1" outlineLevel="1">
      <c r="B4067" s="384">
        <v>2026</v>
      </c>
      <c r="C4067" s="384">
        <v>12</v>
      </c>
      <c r="D4067" s="367" t="s">
        <v>5</v>
      </c>
      <c r="E4067" s="367" t="s">
        <v>6</v>
      </c>
      <c r="F4067" s="389" t="s">
        <v>6477</v>
      </c>
      <c r="G4067" s="385">
        <v>46176</v>
      </c>
      <c r="H4067" s="367" t="s">
        <v>9</v>
      </c>
      <c r="I4067" s="368" t="str">
        <f>VLOOKUP(H4067,'[4]Source Codes'!A$2:B$115,2,FALSE)</f>
        <v>On Line Journal Entries</v>
      </c>
      <c r="J4067" s="412">
        <v>1154094.02</v>
      </c>
      <c r="K4067" s="385">
        <v>46181</v>
      </c>
      <c r="L4067" s="369" t="s">
        <v>6486</v>
      </c>
      <c r="M4067" s="390">
        <v>46181.86986111111</v>
      </c>
      <c r="N4067" s="368" t="s">
        <v>387</v>
      </c>
      <c r="O4067" s="368" t="s">
        <v>371</v>
      </c>
      <c r="P4067" s="368" t="str">
        <f t="shared" si="181"/>
        <v>Revenue</v>
      </c>
      <c r="Q4067" s="366" t="s">
        <v>6497</v>
      </c>
      <c r="R4067" s="366" t="s">
        <v>6497</v>
      </c>
      <c r="S4067" s="366">
        <v>740020</v>
      </c>
    </row>
    <row r="4068" spans="1:19" ht="30" hidden="1" outlineLevel="1">
      <c r="B4068" s="384">
        <v>2026</v>
      </c>
      <c r="C4068" s="384">
        <v>12</v>
      </c>
      <c r="D4068" s="367" t="s">
        <v>5</v>
      </c>
      <c r="E4068" s="367" t="s">
        <v>6</v>
      </c>
      <c r="F4068" s="389" t="s">
        <v>6478</v>
      </c>
      <c r="G4068" s="385">
        <v>46174</v>
      </c>
      <c r="H4068" s="367" t="s">
        <v>9</v>
      </c>
      <c r="I4068" s="368" t="str">
        <f>VLOOKUP(H4068,'[4]Source Codes'!A$2:B$115,2,FALSE)</f>
        <v>On Line Journal Entries</v>
      </c>
      <c r="J4068" s="412">
        <v>-1712372.45</v>
      </c>
      <c r="K4068" s="385">
        <v>46181</v>
      </c>
      <c r="L4068" s="369" t="s">
        <v>6487</v>
      </c>
      <c r="M4068" s="390">
        <v>46181.359675925924</v>
      </c>
      <c r="N4068" s="366" t="s">
        <v>356</v>
      </c>
      <c r="O4068" s="367" t="s">
        <v>373</v>
      </c>
      <c r="P4068" s="368" t="str">
        <f t="shared" si="181"/>
        <v>Expense</v>
      </c>
      <c r="Q4068" s="366" t="s">
        <v>2476</v>
      </c>
      <c r="R4068" s="366" t="s">
        <v>6498</v>
      </c>
      <c r="S4068" s="366">
        <v>520945</v>
      </c>
    </row>
    <row r="4069" spans="1:19" ht="15" hidden="1" outlineLevel="1">
      <c r="B4069" s="384">
        <v>2026</v>
      </c>
      <c r="C4069" s="384">
        <v>12</v>
      </c>
      <c r="D4069" s="367" t="s">
        <v>5</v>
      </c>
      <c r="E4069" s="367" t="s">
        <v>6</v>
      </c>
      <c r="F4069" s="389" t="s">
        <v>6479</v>
      </c>
      <c r="G4069" s="385">
        <v>46174</v>
      </c>
      <c r="H4069" s="367" t="s">
        <v>337</v>
      </c>
      <c r="I4069" s="368" t="str">
        <f>VLOOKUP(H4069,'[4]Source Codes'!A$2:B$115,2,FALSE)</f>
        <v>Facilities Mngmnt Intfc Jrnls</v>
      </c>
      <c r="J4069" s="412">
        <v>-2706598.43</v>
      </c>
      <c r="K4069" s="385">
        <v>46181</v>
      </c>
      <c r="L4069" s="369" t="s">
        <v>6488</v>
      </c>
      <c r="M4069" s="390">
        <v>46181.365914351853</v>
      </c>
      <c r="N4069" s="366" t="s">
        <v>356</v>
      </c>
      <c r="O4069" s="367" t="s">
        <v>367</v>
      </c>
      <c r="P4069" s="368" t="str">
        <f t="shared" si="181"/>
        <v>Expense</v>
      </c>
      <c r="Q4069" s="366" t="s">
        <v>2337</v>
      </c>
      <c r="R4069" s="366" t="s">
        <v>6499</v>
      </c>
      <c r="S4069" s="366">
        <v>522385</v>
      </c>
    </row>
    <row r="4070" spans="1:19" ht="30" hidden="1" outlineLevel="1">
      <c r="B4070" s="384">
        <v>2026</v>
      </c>
      <c r="C4070" s="384">
        <v>12</v>
      </c>
      <c r="D4070" s="367" t="s">
        <v>5</v>
      </c>
      <c r="E4070" s="367" t="s">
        <v>6</v>
      </c>
      <c r="F4070" s="389" t="s">
        <v>6480</v>
      </c>
      <c r="G4070" s="385">
        <v>46174</v>
      </c>
      <c r="H4070" s="367" t="s">
        <v>9</v>
      </c>
      <c r="I4070" s="368" t="str">
        <f>VLOOKUP(H4070,'[4]Source Codes'!A$2:B$115,2,FALSE)</f>
        <v>On Line Journal Entries</v>
      </c>
      <c r="J4070" s="412">
        <v>-4444115.5999999996</v>
      </c>
      <c r="K4070" s="385">
        <v>46181</v>
      </c>
      <c r="L4070" s="369" t="s">
        <v>6489</v>
      </c>
      <c r="M4070" s="390">
        <v>46181.355671296296</v>
      </c>
      <c r="N4070" s="366" t="s">
        <v>356</v>
      </c>
      <c r="O4070" s="367" t="s">
        <v>373</v>
      </c>
      <c r="P4070" s="368" t="str">
        <f t="shared" si="181"/>
        <v>Expense</v>
      </c>
      <c r="Q4070" s="366" t="s">
        <v>2517</v>
      </c>
      <c r="R4070" s="366" t="s">
        <v>6500</v>
      </c>
      <c r="S4070" s="366">
        <v>517000</v>
      </c>
    </row>
    <row r="4071" spans="1:19" ht="30" hidden="1" outlineLevel="1">
      <c r="B4071" s="384">
        <v>2026</v>
      </c>
      <c r="C4071" s="384">
        <v>12</v>
      </c>
      <c r="D4071" s="367" t="s">
        <v>5</v>
      </c>
      <c r="E4071" s="367" t="s">
        <v>6</v>
      </c>
      <c r="F4071" s="389" t="s">
        <v>6481</v>
      </c>
      <c r="G4071" s="385">
        <v>46174</v>
      </c>
      <c r="H4071" s="367" t="s">
        <v>9</v>
      </c>
      <c r="I4071" s="368" t="str">
        <f>VLOOKUP(H4071,'[4]Source Codes'!A$2:B$115,2,FALSE)</f>
        <v>On Line Journal Entries</v>
      </c>
      <c r="J4071" s="412">
        <v>-7576523.3200000003</v>
      </c>
      <c r="K4071" s="385">
        <v>46181</v>
      </c>
      <c r="L4071" s="369" t="s">
        <v>6490</v>
      </c>
      <c r="M4071" s="390">
        <v>46181.357789351852</v>
      </c>
      <c r="N4071" s="366" t="s">
        <v>356</v>
      </c>
      <c r="O4071" s="367" t="s">
        <v>373</v>
      </c>
      <c r="P4071" s="368" t="str">
        <f t="shared" si="181"/>
        <v>Expense</v>
      </c>
      <c r="Q4071" s="366" t="s">
        <v>2569</v>
      </c>
      <c r="R4071" s="366" t="s">
        <v>6501</v>
      </c>
      <c r="S4071" s="366">
        <v>520930</v>
      </c>
    </row>
    <row r="4072" spans="1:19" ht="15" hidden="1" outlineLevel="1">
      <c r="B4072" s="384">
        <v>2026</v>
      </c>
      <c r="C4072" s="384">
        <v>12</v>
      </c>
      <c r="D4072" s="367" t="s">
        <v>5</v>
      </c>
      <c r="E4072" s="367" t="s">
        <v>6</v>
      </c>
      <c r="F4072" s="389" t="s">
        <v>6482</v>
      </c>
      <c r="G4072" s="385">
        <v>46174</v>
      </c>
      <c r="H4072" s="367" t="s">
        <v>13</v>
      </c>
      <c r="I4072" s="368" t="str">
        <f>VLOOKUP(H4072,'[4]Source Codes'!A$2:B$115,2,FALSE)</f>
        <v>C-IV Voucher/Payments/EBT</v>
      </c>
      <c r="J4072" s="412">
        <v>-10076265.52</v>
      </c>
      <c r="K4072" s="385">
        <v>46181</v>
      </c>
      <c r="L4072" s="369" t="s">
        <v>6491</v>
      </c>
      <c r="M4072" s="390">
        <v>46181.340439814812</v>
      </c>
      <c r="N4072" s="366" t="s">
        <v>356</v>
      </c>
      <c r="O4072" s="367" t="s">
        <v>364</v>
      </c>
      <c r="P4072" s="368" t="str">
        <f t="shared" si="181"/>
        <v>Expense</v>
      </c>
      <c r="Q4072" s="366" t="s">
        <v>2204</v>
      </c>
      <c r="R4072" s="393">
        <v>46174</v>
      </c>
      <c r="S4072" s="366">
        <v>530480</v>
      </c>
    </row>
    <row r="4073" spans="1:19" ht="15" hidden="1" outlineLevel="1">
      <c r="B4073" s="384">
        <v>2026</v>
      </c>
      <c r="C4073" s="384">
        <v>12</v>
      </c>
      <c r="D4073" s="367" t="s">
        <v>5</v>
      </c>
      <c r="E4073" s="367" t="s">
        <v>6</v>
      </c>
      <c r="F4073" s="389" t="s">
        <v>6483</v>
      </c>
      <c r="G4073" s="385">
        <v>46174</v>
      </c>
      <c r="H4073" s="367" t="s">
        <v>13</v>
      </c>
      <c r="I4073" s="368" t="str">
        <f>VLOOKUP(H4073,'[4]Source Codes'!A$2:B$115,2,FALSE)</f>
        <v>C-IV Voucher/Payments/EBT</v>
      </c>
      <c r="J4073" s="412">
        <v>-12166432.189999999</v>
      </c>
      <c r="K4073" s="385">
        <v>46181</v>
      </c>
      <c r="L4073" s="369" t="s">
        <v>6492</v>
      </c>
      <c r="M4073" s="390">
        <v>46181.342442129629</v>
      </c>
      <c r="N4073" s="366" t="s">
        <v>356</v>
      </c>
      <c r="O4073" s="367" t="s">
        <v>364</v>
      </c>
      <c r="P4073" s="368" t="str">
        <f t="shared" si="181"/>
        <v>Expense</v>
      </c>
      <c r="Q4073" s="366" t="s">
        <v>2204</v>
      </c>
      <c r="R4073" s="393">
        <v>46143</v>
      </c>
      <c r="S4073" s="366">
        <v>530481</v>
      </c>
    </row>
    <row r="4074" spans="1:19" ht="15" hidden="1" outlineLevel="1">
      <c r="B4074" s="384">
        <v>2026</v>
      </c>
      <c r="C4074" s="384">
        <v>12</v>
      </c>
      <c r="D4074" s="367" t="s">
        <v>5</v>
      </c>
      <c r="E4074" s="367" t="s">
        <v>6</v>
      </c>
      <c r="F4074" s="389" t="s">
        <v>6484</v>
      </c>
      <c r="G4074" s="385">
        <v>46174</v>
      </c>
      <c r="H4074" s="367" t="s">
        <v>13</v>
      </c>
      <c r="I4074" s="368" t="str">
        <f>VLOOKUP(H4074,'[4]Source Codes'!A$2:B$115,2,FALSE)</f>
        <v>C-IV Voucher/Payments/EBT</v>
      </c>
      <c r="J4074" s="412">
        <v>-15709736.970000001</v>
      </c>
      <c r="K4074" s="385">
        <v>46181</v>
      </c>
      <c r="L4074" s="369" t="s">
        <v>6493</v>
      </c>
      <c r="M4074" s="390">
        <v>46181.34101851852</v>
      </c>
      <c r="N4074" s="366" t="s">
        <v>356</v>
      </c>
      <c r="O4074" s="367" t="s">
        <v>364</v>
      </c>
      <c r="P4074" s="368" t="str">
        <f t="shared" si="181"/>
        <v>Expense</v>
      </c>
      <c r="Q4074" s="366" t="s">
        <v>2204</v>
      </c>
      <c r="R4074" s="393">
        <v>46143</v>
      </c>
      <c r="S4074" s="366">
        <v>530482</v>
      </c>
    </row>
    <row r="4075" spans="1:19" ht="15" collapsed="1">
      <c r="J4075" s="413">
        <f>SUM(J4064:J4074)</f>
        <v>-37653189.809999995</v>
      </c>
    </row>
    <row r="4077" spans="1:19" ht="12.75" customHeight="1">
      <c r="A4077" s="378" t="s">
        <v>6504</v>
      </c>
    </row>
    <row r="4078" spans="1:19" ht="30" hidden="1" outlineLevel="1">
      <c r="B4078" s="384">
        <v>2026</v>
      </c>
      <c r="C4078" s="384">
        <v>12</v>
      </c>
      <c r="D4078" s="367" t="s">
        <v>5</v>
      </c>
      <c r="E4078" s="367" t="s">
        <v>6</v>
      </c>
      <c r="F4078" s="389" t="s">
        <v>6505</v>
      </c>
      <c r="G4078" s="385">
        <v>46182</v>
      </c>
      <c r="H4078" s="367" t="s">
        <v>14</v>
      </c>
      <c r="I4078" s="368" t="str">
        <f>VLOOKUP(H4078,'[4]Source Codes'!A$2:B$115,2,FALSE)</f>
        <v>AP Warrant Issuance</v>
      </c>
      <c r="J4078" s="412">
        <v>-1056897.75</v>
      </c>
      <c r="K4078" s="385">
        <v>46182</v>
      </c>
      <c r="L4078" s="369" t="s">
        <v>6513</v>
      </c>
      <c r="M4078" s="390">
        <v>46182.759409722225</v>
      </c>
      <c r="N4078" s="366" t="s">
        <v>356</v>
      </c>
      <c r="O4078" s="367" t="s">
        <v>368</v>
      </c>
      <c r="P4078" s="368" t="str">
        <f t="shared" ref="P4078:P4099" si="182">IF(J4078&gt;0,"Revenue",IF(J4078&lt;0,"Expense"))</f>
        <v>Expense</v>
      </c>
      <c r="Q4078" s="366" t="s">
        <v>2154</v>
      </c>
      <c r="R4078" s="366" t="s">
        <v>2154</v>
      </c>
      <c r="S4078" s="366" t="s">
        <v>203</v>
      </c>
    </row>
    <row r="4079" spans="1:19" ht="75" hidden="1" outlineLevel="1">
      <c r="B4079" s="384">
        <v>2026</v>
      </c>
      <c r="C4079" s="384">
        <v>12</v>
      </c>
      <c r="D4079" s="367" t="s">
        <v>5</v>
      </c>
      <c r="E4079" s="367" t="s">
        <v>6</v>
      </c>
      <c r="F4079" s="389" t="s">
        <v>6506</v>
      </c>
      <c r="G4079" s="385">
        <v>46182</v>
      </c>
      <c r="H4079" s="367" t="s">
        <v>11</v>
      </c>
      <c r="I4079" s="368" t="str">
        <f>VLOOKUP(H4079,'[4]Source Codes'!A$2:B$115,2,FALSE)</f>
        <v>AR Payments</v>
      </c>
      <c r="J4079" s="412">
        <v>1654143.93</v>
      </c>
      <c r="K4079" s="385">
        <v>46182</v>
      </c>
      <c r="L4079" s="369" t="s">
        <v>6514</v>
      </c>
      <c r="M4079" s="390">
        <v>46182.752280092594</v>
      </c>
      <c r="N4079" s="366" t="s">
        <v>359</v>
      </c>
      <c r="O4079" s="367" t="s">
        <v>357</v>
      </c>
      <c r="P4079" s="368" t="str">
        <f t="shared" si="182"/>
        <v>Revenue</v>
      </c>
      <c r="Q4079" s="366" t="s">
        <v>2157</v>
      </c>
      <c r="R4079" s="366" t="s">
        <v>2157</v>
      </c>
      <c r="S4079" s="366" t="s">
        <v>2531</v>
      </c>
    </row>
    <row r="4080" spans="1:19" ht="30" hidden="1" outlineLevel="1">
      <c r="B4080" s="384">
        <v>2026</v>
      </c>
      <c r="C4080" s="384">
        <v>12</v>
      </c>
      <c r="D4080" s="367" t="s">
        <v>5</v>
      </c>
      <c r="E4080" s="367" t="s">
        <v>6</v>
      </c>
      <c r="F4080" s="389" t="s">
        <v>6507</v>
      </c>
      <c r="G4080" s="385">
        <v>46181</v>
      </c>
      <c r="H4080" s="367" t="s">
        <v>9</v>
      </c>
      <c r="I4080" s="368" t="str">
        <f>VLOOKUP(H4080,'[4]Source Codes'!A$2:B$115,2,FALSE)</f>
        <v>On Line Journal Entries</v>
      </c>
      <c r="J4080" s="412">
        <v>9686856.4700000007</v>
      </c>
      <c r="K4080" s="385">
        <v>46182</v>
      </c>
      <c r="L4080" s="369" t="s">
        <v>344</v>
      </c>
      <c r="M4080" s="390">
        <v>46182.870254629626</v>
      </c>
      <c r="N4080" s="366" t="s">
        <v>356</v>
      </c>
      <c r="O4080" s="367" t="s">
        <v>364</v>
      </c>
      <c r="P4080" s="368" t="str">
        <f t="shared" si="182"/>
        <v>Revenue</v>
      </c>
      <c r="Q4080" s="366" t="s">
        <v>2232</v>
      </c>
      <c r="R4080" s="366" t="s">
        <v>3454</v>
      </c>
      <c r="S4080" s="366" t="s">
        <v>4905</v>
      </c>
    </row>
    <row r="4081" spans="1:19" ht="30" hidden="1" outlineLevel="1">
      <c r="B4081" s="384">
        <v>2026</v>
      </c>
      <c r="C4081" s="384">
        <v>12</v>
      </c>
      <c r="D4081" s="367" t="s">
        <v>5</v>
      </c>
      <c r="E4081" s="367" t="s">
        <v>6</v>
      </c>
      <c r="F4081" s="389" t="s">
        <v>6508</v>
      </c>
      <c r="G4081" s="385">
        <v>46181</v>
      </c>
      <c r="H4081" s="367" t="s">
        <v>9</v>
      </c>
      <c r="I4081" s="368" t="str">
        <f>VLOOKUP(H4081,'[4]Source Codes'!A$2:B$115,2,FALSE)</f>
        <v>On Line Journal Entries</v>
      </c>
      <c r="J4081" s="412">
        <v>8033730</v>
      </c>
      <c r="K4081" s="385">
        <v>46182</v>
      </c>
      <c r="L4081" s="369" t="s">
        <v>344</v>
      </c>
      <c r="M4081" s="390">
        <v>46182.870254629626</v>
      </c>
      <c r="N4081" s="366" t="s">
        <v>356</v>
      </c>
      <c r="O4081" s="367" t="s">
        <v>364</v>
      </c>
      <c r="P4081" s="368" t="str">
        <f t="shared" si="182"/>
        <v>Revenue</v>
      </c>
      <c r="Q4081" s="366" t="s">
        <v>2232</v>
      </c>
      <c r="R4081" s="366" t="s">
        <v>3454</v>
      </c>
      <c r="S4081" s="366" t="s">
        <v>2533</v>
      </c>
    </row>
    <row r="4082" spans="1:19" ht="30" hidden="1" outlineLevel="1">
      <c r="B4082" s="384">
        <v>2026</v>
      </c>
      <c r="C4082" s="384">
        <v>12</v>
      </c>
      <c r="D4082" s="367" t="s">
        <v>5</v>
      </c>
      <c r="E4082" s="367" t="s">
        <v>6</v>
      </c>
      <c r="F4082" s="389" t="s">
        <v>6509</v>
      </c>
      <c r="G4082" s="385">
        <v>46181</v>
      </c>
      <c r="H4082" s="367" t="s">
        <v>9</v>
      </c>
      <c r="I4082" s="368" t="str">
        <f>VLOOKUP(H4082,'[4]Source Codes'!A$2:B$115,2,FALSE)</f>
        <v>On Line Journal Entries</v>
      </c>
      <c r="J4082" s="412">
        <v>2943177</v>
      </c>
      <c r="K4082" s="385">
        <v>46182</v>
      </c>
      <c r="L4082" s="369" t="s">
        <v>344</v>
      </c>
      <c r="M4082" s="390">
        <v>46182.870254629626</v>
      </c>
      <c r="N4082" s="366" t="s">
        <v>356</v>
      </c>
      <c r="O4082" s="367" t="s">
        <v>364</v>
      </c>
      <c r="P4082" s="368" t="str">
        <f t="shared" si="182"/>
        <v>Revenue</v>
      </c>
      <c r="Q4082" s="366" t="s">
        <v>2232</v>
      </c>
      <c r="R4082" s="366" t="s">
        <v>3454</v>
      </c>
      <c r="S4082" s="366" t="s">
        <v>2233</v>
      </c>
    </row>
    <row r="4083" spans="1:19" ht="60" hidden="1" outlineLevel="1">
      <c r="B4083" s="384">
        <v>2026</v>
      </c>
      <c r="C4083" s="384">
        <v>12</v>
      </c>
      <c r="D4083" s="367" t="s">
        <v>5</v>
      </c>
      <c r="E4083" s="367" t="s">
        <v>6</v>
      </c>
      <c r="F4083" s="389" t="s">
        <v>6510</v>
      </c>
      <c r="G4083" s="385">
        <v>46182</v>
      </c>
      <c r="H4083" s="367" t="s">
        <v>9</v>
      </c>
      <c r="I4083" s="368" t="str">
        <f>VLOOKUP(H4083,'[4]Source Codes'!A$2:B$115,2,FALSE)</f>
        <v>On Line Journal Entries</v>
      </c>
      <c r="J4083" s="412">
        <v>-2050744.07</v>
      </c>
      <c r="K4083" s="385">
        <v>46182</v>
      </c>
      <c r="L4083" s="369" t="s">
        <v>6512</v>
      </c>
      <c r="M4083" s="390">
        <v>46182.870254629626</v>
      </c>
      <c r="N4083" s="366" t="s">
        <v>387</v>
      </c>
      <c r="O4083" s="367" t="s">
        <v>358</v>
      </c>
      <c r="P4083" s="368" t="str">
        <f t="shared" si="182"/>
        <v>Expense</v>
      </c>
      <c r="Q4083" s="366" t="s">
        <v>3185</v>
      </c>
      <c r="R4083" s="366" t="s">
        <v>3185</v>
      </c>
      <c r="S4083" s="366">
        <v>551100</v>
      </c>
    </row>
    <row r="4084" spans="1:19" ht="45" hidden="1" outlineLevel="1">
      <c r="B4084" s="384">
        <v>2026</v>
      </c>
      <c r="C4084" s="384">
        <v>12</v>
      </c>
      <c r="D4084" s="367" t="s">
        <v>5</v>
      </c>
      <c r="E4084" s="367" t="s">
        <v>6</v>
      </c>
      <c r="F4084" s="389" t="s">
        <v>6511</v>
      </c>
      <c r="G4084" s="385">
        <v>46181</v>
      </c>
      <c r="H4084" s="367" t="s">
        <v>9</v>
      </c>
      <c r="I4084" s="368" t="str">
        <f>VLOOKUP(H4084,'[4]Source Codes'!A$2:B$115,2,FALSE)</f>
        <v>On Line Journal Entries</v>
      </c>
      <c r="J4084" s="412">
        <v>-2513210</v>
      </c>
      <c r="K4084" s="385">
        <v>46182</v>
      </c>
      <c r="L4084" s="369" t="s">
        <v>965</v>
      </c>
      <c r="M4084" s="390">
        <v>46182.870254629626</v>
      </c>
      <c r="N4084" s="366" t="s">
        <v>359</v>
      </c>
      <c r="O4084" s="367" t="s">
        <v>364</v>
      </c>
      <c r="P4084" s="368" t="str">
        <f t="shared" si="182"/>
        <v>Expense</v>
      </c>
      <c r="Q4084" s="366" t="s">
        <v>2232</v>
      </c>
      <c r="R4084" s="366" t="s">
        <v>2232</v>
      </c>
      <c r="S4084" s="366">
        <v>755919</v>
      </c>
    </row>
    <row r="4085" spans="1:19" ht="15" collapsed="1">
      <c r="J4085" s="413">
        <f>SUM(J4078:J4084)</f>
        <v>16697055.579999998</v>
      </c>
      <c r="P4085" s="368"/>
    </row>
    <row r="4086" spans="1:19" ht="12.75" customHeight="1">
      <c r="P4086" s="368"/>
    </row>
    <row r="4087" spans="1:19" ht="12.75" customHeight="1">
      <c r="A4087" s="378" t="s">
        <v>6515</v>
      </c>
      <c r="P4087" s="368"/>
    </row>
    <row r="4088" spans="1:19" ht="75" hidden="1" outlineLevel="1">
      <c r="B4088" s="384">
        <v>2026</v>
      </c>
      <c r="C4088" s="384">
        <v>12</v>
      </c>
      <c r="D4088" s="367" t="s">
        <v>5</v>
      </c>
      <c r="E4088" s="367" t="s">
        <v>6</v>
      </c>
      <c r="F4088" s="389" t="s">
        <v>6516</v>
      </c>
      <c r="G4088" s="385">
        <v>46183</v>
      </c>
      <c r="H4088" s="367" t="s">
        <v>14</v>
      </c>
      <c r="I4088" s="368" t="str">
        <f>VLOOKUP(H4088,'[4]Source Codes'!A$2:B$115,2,FALSE)</f>
        <v>AP Warrant Issuance</v>
      </c>
      <c r="J4088" s="412">
        <v>-71252701.319999993</v>
      </c>
      <c r="K4088" s="385">
        <v>46183</v>
      </c>
      <c r="L4088" s="369" t="s">
        <v>6522</v>
      </c>
      <c r="M4088" s="390">
        <v>46183.760150462964</v>
      </c>
      <c r="N4088" s="366" t="s">
        <v>361</v>
      </c>
      <c r="O4088" s="367" t="s">
        <v>370</v>
      </c>
      <c r="P4088" s="368" t="str">
        <f t="shared" si="182"/>
        <v>Expense</v>
      </c>
      <c r="Q4088" s="366" t="s">
        <v>2975</v>
      </c>
      <c r="R4088" s="366" t="s">
        <v>6519</v>
      </c>
      <c r="S4088" s="366">
        <v>525440</v>
      </c>
    </row>
    <row r="4089" spans="1:19" ht="45" hidden="1" outlineLevel="1">
      <c r="B4089" s="384">
        <v>2026</v>
      </c>
      <c r="C4089" s="384">
        <v>12</v>
      </c>
      <c r="D4089" s="367" t="s">
        <v>5</v>
      </c>
      <c r="E4089" s="367" t="s">
        <v>6</v>
      </c>
      <c r="F4089" s="389" t="s">
        <v>6517</v>
      </c>
      <c r="G4089" s="385">
        <v>46183</v>
      </c>
      <c r="H4089" s="367" t="s">
        <v>14</v>
      </c>
      <c r="I4089" s="368" t="str">
        <f>VLOOKUP(H4089,'[4]Source Codes'!A$2:B$115,2,FALSE)</f>
        <v>AP Warrant Issuance</v>
      </c>
      <c r="J4089" s="412">
        <v>-2112690.5099999998</v>
      </c>
      <c r="K4089" s="385">
        <v>46183</v>
      </c>
      <c r="L4089" s="369" t="s">
        <v>6520</v>
      </c>
      <c r="M4089" s="390">
        <v>46183.760150462964</v>
      </c>
      <c r="N4089" s="366" t="s">
        <v>356</v>
      </c>
      <c r="O4089" s="367" t="s">
        <v>357</v>
      </c>
      <c r="P4089" s="368" t="str">
        <f t="shared" si="182"/>
        <v>Expense</v>
      </c>
      <c r="Q4089" s="366" t="s">
        <v>2309</v>
      </c>
      <c r="R4089" s="366" t="s">
        <v>2310</v>
      </c>
      <c r="S4089" s="366" t="s">
        <v>203</v>
      </c>
    </row>
    <row r="4090" spans="1:19" ht="60.75" hidden="1" customHeight="1" outlineLevel="1">
      <c r="B4090" s="384">
        <v>2026</v>
      </c>
      <c r="C4090" s="384">
        <v>12</v>
      </c>
      <c r="D4090" s="367" t="s">
        <v>5</v>
      </c>
      <c r="E4090" s="367" t="s">
        <v>6</v>
      </c>
      <c r="F4090" s="389" t="s">
        <v>6518</v>
      </c>
      <c r="G4090" s="385">
        <v>46183</v>
      </c>
      <c r="H4090" s="367" t="s">
        <v>11</v>
      </c>
      <c r="I4090" s="368" t="str">
        <f>VLOOKUP(H4090,'[4]Source Codes'!A$2:B$115,2,FALSE)</f>
        <v>AR Payments</v>
      </c>
      <c r="J4090" s="412">
        <v>2238110.08</v>
      </c>
      <c r="K4090" s="385">
        <v>46183</v>
      </c>
      <c r="L4090" s="369" t="s">
        <v>6521</v>
      </c>
      <c r="M4090" s="390">
        <v>46183.752337962964</v>
      </c>
      <c r="N4090" s="366" t="s">
        <v>359</v>
      </c>
      <c r="O4090" s="367" t="s">
        <v>357</v>
      </c>
      <c r="P4090" s="368" t="str">
        <f t="shared" si="182"/>
        <v>Revenue</v>
      </c>
      <c r="Q4090" s="366" t="s">
        <v>2157</v>
      </c>
      <c r="R4090" s="366" t="s">
        <v>2157</v>
      </c>
      <c r="S4090" s="366" t="s">
        <v>2278</v>
      </c>
    </row>
    <row r="4091" spans="1:19" ht="12.75" customHeight="1" collapsed="1">
      <c r="I4091" s="368"/>
      <c r="J4091" s="413">
        <f>SUM(J4088:J4090)</f>
        <v>-71127281.75</v>
      </c>
      <c r="N4091" s="366"/>
      <c r="P4091" s="368"/>
    </row>
    <row r="4092" spans="1:19" ht="12.75" customHeight="1">
      <c r="A4092" s="378"/>
      <c r="I4092" s="368"/>
      <c r="N4092" s="366"/>
      <c r="P4092" s="368"/>
    </row>
    <row r="4093" spans="1:19" ht="12.75" customHeight="1">
      <c r="A4093" s="378" t="s">
        <v>6523</v>
      </c>
      <c r="I4093" s="368"/>
      <c r="N4093" s="366"/>
      <c r="P4093" s="368"/>
    </row>
    <row r="4094" spans="1:19" ht="30" hidden="1" outlineLevel="1">
      <c r="B4094" s="384">
        <v>2026</v>
      </c>
      <c r="C4094" s="384">
        <v>12</v>
      </c>
      <c r="D4094" s="367" t="s">
        <v>5</v>
      </c>
      <c r="E4094" s="367" t="s">
        <v>6</v>
      </c>
      <c r="F4094" s="389" t="s">
        <v>6524</v>
      </c>
      <c r="G4094" s="385">
        <v>46183</v>
      </c>
      <c r="H4094" s="367" t="s">
        <v>11</v>
      </c>
      <c r="I4094" s="368" t="str">
        <f>VLOOKUP(H4094,'[4]Source Codes'!A$2:B$115,2,FALSE)</f>
        <v>AR Payments</v>
      </c>
      <c r="J4094" s="412">
        <v>1151940.7</v>
      </c>
      <c r="K4094" s="385">
        <v>46184</v>
      </c>
      <c r="L4094" s="369" t="s">
        <v>6526</v>
      </c>
      <c r="M4094" s="390">
        <v>46184.752013888887</v>
      </c>
      <c r="N4094" s="366" t="s">
        <v>359</v>
      </c>
      <c r="O4094" s="367" t="s">
        <v>362</v>
      </c>
      <c r="P4094" s="368" t="str">
        <f t="shared" si="182"/>
        <v>Revenue</v>
      </c>
      <c r="Q4094" s="366" t="s">
        <v>3049</v>
      </c>
      <c r="R4094" s="366" t="s">
        <v>3049</v>
      </c>
      <c r="S4094" s="366" t="s">
        <v>5831</v>
      </c>
    </row>
    <row r="4095" spans="1:19" ht="63.75" hidden="1" customHeight="1" outlineLevel="1">
      <c r="B4095" s="384">
        <v>2026</v>
      </c>
      <c r="C4095" s="384">
        <v>12</v>
      </c>
      <c r="D4095" s="367" t="s">
        <v>5</v>
      </c>
      <c r="E4095" s="367" t="s">
        <v>6</v>
      </c>
      <c r="F4095" s="389" t="s">
        <v>6525</v>
      </c>
      <c r="G4095" s="385">
        <v>46175</v>
      </c>
      <c r="H4095" s="367" t="s">
        <v>12</v>
      </c>
      <c r="I4095" s="368" t="str">
        <f>VLOOKUP(H4095,'[4]Source Codes'!A$2:B$115,2,FALSE)</f>
        <v>AR Direct Cash Journal</v>
      </c>
      <c r="J4095" s="412">
        <v>1545974</v>
      </c>
      <c r="K4095" s="385">
        <v>46184</v>
      </c>
      <c r="L4095" s="369" t="s">
        <v>6535</v>
      </c>
      <c r="M4095" s="390">
        <v>46184.752013888887</v>
      </c>
      <c r="N4095" s="366" t="s">
        <v>361</v>
      </c>
      <c r="O4095" s="367" t="s">
        <v>368</v>
      </c>
      <c r="P4095" s="368" t="str">
        <f t="shared" si="182"/>
        <v>Revenue</v>
      </c>
      <c r="Q4095" s="366" t="s">
        <v>2177</v>
      </c>
      <c r="R4095" s="366" t="s">
        <v>3123</v>
      </c>
      <c r="S4095" s="366" t="s">
        <v>6527</v>
      </c>
    </row>
    <row r="4096" spans="1:19" ht="30" hidden="1" outlineLevel="1">
      <c r="B4096" s="384">
        <v>2026</v>
      </c>
      <c r="C4096" s="384">
        <v>12</v>
      </c>
      <c r="D4096" s="367" t="s">
        <v>5</v>
      </c>
      <c r="E4096" s="367" t="s">
        <v>6</v>
      </c>
      <c r="F4096" s="389" t="s">
        <v>6528</v>
      </c>
      <c r="G4096" s="385">
        <v>46183</v>
      </c>
      <c r="H4096" s="367" t="s">
        <v>9</v>
      </c>
      <c r="I4096" s="368" t="str">
        <f>VLOOKUP(H4096,'[4]Source Codes'!A$2:B$115,2,FALSE)</f>
        <v>On Line Journal Entries</v>
      </c>
      <c r="J4096" s="412">
        <v>5489751</v>
      </c>
      <c r="K4096" s="385">
        <v>46184</v>
      </c>
      <c r="L4096" s="369" t="s">
        <v>6529</v>
      </c>
      <c r="M4096" s="390">
        <v>46184.57534722222</v>
      </c>
      <c r="N4096" s="366" t="s">
        <v>359</v>
      </c>
      <c r="O4096" s="367" t="s">
        <v>369</v>
      </c>
      <c r="P4096" s="368" t="str">
        <f t="shared" si="182"/>
        <v>Revenue</v>
      </c>
      <c r="Q4096" s="366" t="s">
        <v>2268</v>
      </c>
      <c r="R4096" s="393">
        <v>46174</v>
      </c>
      <c r="S4096" s="366" t="s">
        <v>6287</v>
      </c>
    </row>
    <row r="4097" spans="1:19" ht="15" hidden="1" outlineLevel="1">
      <c r="B4097" s="384">
        <v>2026</v>
      </c>
      <c r="C4097" s="384">
        <v>12</v>
      </c>
      <c r="D4097" s="367" t="s">
        <v>5</v>
      </c>
      <c r="E4097" s="367" t="s">
        <v>6</v>
      </c>
      <c r="F4097" s="389" t="s">
        <v>6530</v>
      </c>
      <c r="G4097" s="385">
        <v>46183</v>
      </c>
      <c r="H4097" s="367" t="s">
        <v>7</v>
      </c>
      <c r="I4097" s="368" t="str">
        <f>VLOOKUP(H4097,'[4]Source Codes'!A$2:B$115,2,FALSE)</f>
        <v>HRMS Interface Journals</v>
      </c>
      <c r="J4097" s="412">
        <v>-1060812.27</v>
      </c>
      <c r="K4097" s="385">
        <v>46184</v>
      </c>
      <c r="L4097" s="369" t="s">
        <v>6533</v>
      </c>
      <c r="M4097" s="390">
        <v>46184.365243055552</v>
      </c>
      <c r="N4097" s="366" t="s">
        <v>378</v>
      </c>
      <c r="O4097" s="367" t="s">
        <v>379</v>
      </c>
      <c r="P4097" s="368" t="str">
        <f t="shared" si="182"/>
        <v>Expense</v>
      </c>
      <c r="Q4097" s="366" t="s">
        <v>379</v>
      </c>
      <c r="R4097" s="366" t="s">
        <v>6534</v>
      </c>
      <c r="S4097" s="366">
        <v>513140</v>
      </c>
    </row>
    <row r="4098" spans="1:19" ht="15" hidden="1" outlineLevel="1">
      <c r="B4098" s="384">
        <v>2026</v>
      </c>
      <c r="C4098" s="384">
        <v>12</v>
      </c>
      <c r="D4098" s="367" t="s">
        <v>5</v>
      </c>
      <c r="E4098" s="367" t="s">
        <v>6</v>
      </c>
      <c r="F4098" s="389" t="s">
        <v>6531</v>
      </c>
      <c r="G4098" s="385">
        <v>46183</v>
      </c>
      <c r="H4098" s="367" t="s">
        <v>7</v>
      </c>
      <c r="I4098" s="368" t="str">
        <f>VLOOKUP(H4098,'[4]Source Codes'!A$2:B$115,2,FALSE)</f>
        <v>HRMS Interface Journals</v>
      </c>
      <c r="J4098" s="412">
        <v>-2966645.42</v>
      </c>
      <c r="K4098" s="385">
        <v>46184</v>
      </c>
      <c r="L4098" s="369" t="s">
        <v>409</v>
      </c>
      <c r="M4098" s="390">
        <v>46184.372986111113</v>
      </c>
      <c r="N4098" s="366" t="s">
        <v>378</v>
      </c>
      <c r="O4098" s="367" t="s">
        <v>379</v>
      </c>
      <c r="P4098" s="368" t="str">
        <f t="shared" si="182"/>
        <v>Expense</v>
      </c>
      <c r="Q4098" s="366" t="s">
        <v>379</v>
      </c>
      <c r="R4098" s="366" t="s">
        <v>6534</v>
      </c>
      <c r="S4098" s="366">
        <v>513120</v>
      </c>
    </row>
    <row r="4099" spans="1:19" ht="15" hidden="1" outlineLevel="1">
      <c r="B4099" s="384">
        <v>2026</v>
      </c>
      <c r="C4099" s="384">
        <v>12</v>
      </c>
      <c r="D4099" s="367" t="s">
        <v>5</v>
      </c>
      <c r="E4099" s="367" t="s">
        <v>6</v>
      </c>
      <c r="F4099" s="389" t="s">
        <v>6532</v>
      </c>
      <c r="G4099" s="385">
        <v>46183</v>
      </c>
      <c r="H4099" s="367" t="s">
        <v>7</v>
      </c>
      <c r="I4099" s="368" t="str">
        <f>VLOOKUP(H4099,'[4]Source Codes'!A$2:B$115,2,FALSE)</f>
        <v>HRMS Interface Journals</v>
      </c>
      <c r="J4099" s="412">
        <v>-14901073.08</v>
      </c>
      <c r="K4099" s="385">
        <v>46184</v>
      </c>
      <c r="L4099" s="369" t="s">
        <v>407</v>
      </c>
      <c r="M4099" s="390">
        <v>46184.366099537037</v>
      </c>
      <c r="N4099" s="366" t="s">
        <v>378</v>
      </c>
      <c r="O4099" s="367" t="s">
        <v>379</v>
      </c>
      <c r="P4099" s="368" t="str">
        <f t="shared" si="182"/>
        <v>Expense</v>
      </c>
      <c r="Q4099" s="366" t="s">
        <v>379</v>
      </c>
      <c r="R4099" s="366" t="s">
        <v>6534</v>
      </c>
      <c r="S4099" s="366" t="s">
        <v>203</v>
      </c>
    </row>
    <row r="4100" spans="1:19" ht="12.75" customHeight="1" collapsed="1">
      <c r="J4100" s="413">
        <f>SUM(J4094:J4099)</f>
        <v>-10740865.07</v>
      </c>
    </row>
    <row r="4102" spans="1:19" ht="12.75" customHeight="1">
      <c r="A4102" s="378" t="s">
        <v>6536</v>
      </c>
    </row>
    <row r="4103" spans="1:19" ht="30" hidden="1" outlineLevel="1">
      <c r="B4103" s="384">
        <v>2026</v>
      </c>
      <c r="C4103" s="384">
        <v>12</v>
      </c>
      <c r="D4103" s="367" t="s">
        <v>5</v>
      </c>
      <c r="E4103" s="367" t="s">
        <v>6</v>
      </c>
      <c r="F4103" s="389" t="s">
        <v>6537</v>
      </c>
      <c r="G4103" s="385">
        <v>46185</v>
      </c>
      <c r="H4103" s="367" t="s">
        <v>14</v>
      </c>
      <c r="I4103" s="368" t="str">
        <f>VLOOKUP(H4103,'[4]Source Codes'!A$2:B$115,2,FALSE)</f>
        <v>AP Warrant Issuance</v>
      </c>
      <c r="J4103" s="412">
        <v>-3136131.31</v>
      </c>
      <c r="K4103" s="385">
        <v>46185</v>
      </c>
      <c r="L4103" s="369" t="s">
        <v>6539</v>
      </c>
      <c r="M4103" s="390">
        <v>46185.758425925924</v>
      </c>
      <c r="N4103" s="366" t="s">
        <v>356</v>
      </c>
      <c r="O4103" s="367" t="s">
        <v>364</v>
      </c>
      <c r="P4103" s="368" t="str">
        <f t="shared" ref="P4103:P4104" si="183">IF(J4103&gt;0,"Revenue",IF(J4103&lt;0,"Expense"))</f>
        <v>Expense</v>
      </c>
      <c r="Q4103" s="366" t="s">
        <v>2344</v>
      </c>
      <c r="R4103" s="366" t="s">
        <v>2344</v>
      </c>
      <c r="S4103" s="366" t="s">
        <v>203</v>
      </c>
    </row>
    <row r="4104" spans="1:19" ht="30" hidden="1" outlineLevel="1">
      <c r="B4104" s="384">
        <v>2026</v>
      </c>
      <c r="C4104" s="384">
        <v>12</v>
      </c>
      <c r="D4104" s="367" t="s">
        <v>5</v>
      </c>
      <c r="E4104" s="367" t="s">
        <v>6</v>
      </c>
      <c r="F4104" s="389" t="s">
        <v>6538</v>
      </c>
      <c r="G4104" s="385">
        <v>46185</v>
      </c>
      <c r="H4104" s="367" t="s">
        <v>14</v>
      </c>
      <c r="I4104" s="368" t="str">
        <f>VLOOKUP(H4104,'[4]Source Codes'!A$2:B$115,2,FALSE)</f>
        <v>AP Warrant Issuance</v>
      </c>
      <c r="J4104" s="412">
        <v>-1434238.35</v>
      </c>
      <c r="K4104" s="385">
        <v>46185</v>
      </c>
      <c r="L4104" s="369" t="s">
        <v>6540</v>
      </c>
      <c r="M4104" s="390">
        <v>46185.758425925924</v>
      </c>
      <c r="N4104" s="366" t="s">
        <v>356</v>
      </c>
      <c r="O4104" s="367" t="s">
        <v>368</v>
      </c>
      <c r="P4104" s="368" t="str">
        <f t="shared" si="183"/>
        <v>Expense</v>
      </c>
      <c r="Q4104" s="366" t="s">
        <v>2154</v>
      </c>
      <c r="R4104" s="366" t="s">
        <v>2154</v>
      </c>
      <c r="S4104" s="366" t="s">
        <v>203</v>
      </c>
    </row>
    <row r="4105" spans="1:19" ht="12.75" customHeight="1" collapsed="1">
      <c r="J4105" s="413">
        <f>SUM(J4103:J4104)</f>
        <v>-4570369.66</v>
      </c>
    </row>
    <row r="4107" spans="1:19" ht="12.75" customHeight="1">
      <c r="A4107" s="378" t="s">
        <v>6541</v>
      </c>
    </row>
    <row r="4108" spans="1:19" ht="60" hidden="1" outlineLevel="1">
      <c r="B4108" s="384">
        <v>2026</v>
      </c>
      <c r="C4108" s="384">
        <v>12</v>
      </c>
      <c r="D4108" s="367" t="s">
        <v>5</v>
      </c>
      <c r="E4108" s="367" t="s">
        <v>6</v>
      </c>
      <c r="F4108" s="389" t="s">
        <v>6542</v>
      </c>
      <c r="G4108" s="385">
        <v>46188</v>
      </c>
      <c r="H4108" s="367" t="s">
        <v>14</v>
      </c>
      <c r="I4108" s="368" t="str">
        <f>VLOOKUP(H4108,'[4]Source Codes'!A$2:B$115,2,FALSE)</f>
        <v>AP Warrant Issuance</v>
      </c>
      <c r="J4108" s="412">
        <v>-6319962.7599999998</v>
      </c>
      <c r="K4108" s="385">
        <v>46188</v>
      </c>
      <c r="L4108" s="369" t="s">
        <v>6555</v>
      </c>
      <c r="M4108" s="390">
        <v>46188.758738425924</v>
      </c>
      <c r="N4108" s="366" t="s">
        <v>361</v>
      </c>
      <c r="O4108" s="367" t="s">
        <v>358</v>
      </c>
      <c r="P4108" s="368" t="str">
        <f t="shared" ref="P4108:P4114" si="184">IF(J4108&gt;0,"Revenue",IF(J4108&lt;0,"Expense"))</f>
        <v>Expense</v>
      </c>
      <c r="Q4108" s="366" t="s">
        <v>2325</v>
      </c>
      <c r="R4108" s="366" t="s">
        <v>6565</v>
      </c>
      <c r="S4108" s="366">
        <v>536200</v>
      </c>
    </row>
    <row r="4109" spans="1:19" ht="30" hidden="1" outlineLevel="1">
      <c r="B4109" s="384">
        <v>2026</v>
      </c>
      <c r="C4109" s="384">
        <v>12</v>
      </c>
      <c r="D4109" s="367" t="s">
        <v>5</v>
      </c>
      <c r="E4109" s="367" t="s">
        <v>6</v>
      </c>
      <c r="F4109" s="389" t="s">
        <v>6543</v>
      </c>
      <c r="G4109" s="385">
        <v>46190</v>
      </c>
      <c r="H4109" s="367" t="s">
        <v>14</v>
      </c>
      <c r="I4109" s="368" t="str">
        <f>VLOOKUP(H4109,'[4]Source Codes'!A$2:B$115,2,FALSE)</f>
        <v>AP Warrant Issuance</v>
      </c>
      <c r="J4109" s="412">
        <v>-1202834.45</v>
      </c>
      <c r="K4109" s="385">
        <v>46188</v>
      </c>
      <c r="L4109" s="369" t="s">
        <v>6554</v>
      </c>
      <c r="M4109" s="390">
        <v>46188.758738425924</v>
      </c>
      <c r="N4109" s="368" t="s">
        <v>2185</v>
      </c>
      <c r="O4109" s="368" t="s">
        <v>375</v>
      </c>
      <c r="P4109" s="368" t="str">
        <f t="shared" si="184"/>
        <v>Expense</v>
      </c>
      <c r="Q4109" s="366" t="s">
        <v>2255</v>
      </c>
      <c r="R4109" s="365" t="s">
        <v>6551</v>
      </c>
      <c r="S4109" s="366">
        <v>523800</v>
      </c>
    </row>
    <row r="4110" spans="1:19" ht="90" hidden="1" outlineLevel="1">
      <c r="B4110" s="384">
        <v>2026</v>
      </c>
      <c r="C4110" s="384">
        <v>12</v>
      </c>
      <c r="D4110" s="367" t="s">
        <v>5</v>
      </c>
      <c r="E4110" s="367" t="s">
        <v>6</v>
      </c>
      <c r="F4110" s="389" t="s">
        <v>6544</v>
      </c>
      <c r="G4110" s="385">
        <v>46184</v>
      </c>
      <c r="H4110" s="367" t="s">
        <v>12</v>
      </c>
      <c r="I4110" s="368" t="str">
        <f>VLOOKUP(H4110,'[4]Source Codes'!A$2:B$115,2,FALSE)</f>
        <v>AR Direct Cash Journal</v>
      </c>
      <c r="J4110" s="412">
        <v>2746092.07</v>
      </c>
      <c r="K4110" s="385">
        <v>46188</v>
      </c>
      <c r="L4110" s="369" t="s">
        <v>6552</v>
      </c>
      <c r="M4110" s="390">
        <v>46188.752280092594</v>
      </c>
      <c r="N4110" s="366" t="s">
        <v>356</v>
      </c>
      <c r="O4110" s="367" t="s">
        <v>370</v>
      </c>
      <c r="P4110" s="368" t="str">
        <f t="shared" si="184"/>
        <v>Revenue</v>
      </c>
      <c r="Q4110" s="366" t="s">
        <v>2264</v>
      </c>
      <c r="R4110" s="366" t="s">
        <v>2264</v>
      </c>
      <c r="S4110" s="366" t="s">
        <v>6553</v>
      </c>
    </row>
    <row r="4111" spans="1:19" ht="75" hidden="1" outlineLevel="1">
      <c r="B4111" s="384">
        <v>2026</v>
      </c>
      <c r="C4111" s="384">
        <v>12</v>
      </c>
      <c r="D4111" s="367" t="s">
        <v>5</v>
      </c>
      <c r="E4111" s="367" t="s">
        <v>6</v>
      </c>
      <c r="F4111" s="389" t="s">
        <v>6545</v>
      </c>
      <c r="G4111" s="385">
        <v>46185</v>
      </c>
      <c r="H4111" s="367" t="s">
        <v>11</v>
      </c>
      <c r="I4111" s="368" t="str">
        <f>VLOOKUP(H4111,'[4]Source Codes'!A$2:B$115,2,FALSE)</f>
        <v>AR Payments</v>
      </c>
      <c r="J4111" s="412">
        <v>2862546.77</v>
      </c>
      <c r="K4111" s="385">
        <v>46188</v>
      </c>
      <c r="L4111" s="369" t="s">
        <v>6564</v>
      </c>
      <c r="M4111" s="390">
        <v>46188.752280092594</v>
      </c>
      <c r="N4111" s="366" t="s">
        <v>359</v>
      </c>
      <c r="O4111" s="367" t="s">
        <v>357</v>
      </c>
      <c r="P4111" s="368" t="str">
        <f t="shared" si="184"/>
        <v>Revenue</v>
      </c>
      <c r="Q4111" s="366" t="s">
        <v>2157</v>
      </c>
      <c r="R4111" s="366" t="s">
        <v>2157</v>
      </c>
      <c r="S4111" s="366" t="s">
        <v>2531</v>
      </c>
    </row>
    <row r="4112" spans="1:19" ht="30" hidden="1" outlineLevel="1">
      <c r="B4112" s="384">
        <v>2026</v>
      </c>
      <c r="C4112" s="384">
        <v>12</v>
      </c>
      <c r="D4112" s="367" t="s">
        <v>5</v>
      </c>
      <c r="E4112" s="367" t="s">
        <v>6</v>
      </c>
      <c r="F4112" s="389" t="s">
        <v>6546</v>
      </c>
      <c r="G4112" s="385">
        <v>46175</v>
      </c>
      <c r="H4112" s="367" t="s">
        <v>9</v>
      </c>
      <c r="I4112" s="368" t="str">
        <f>VLOOKUP(H4112,'[4]Source Codes'!A$2:B$115,2,FALSE)</f>
        <v>On Line Journal Entries</v>
      </c>
      <c r="J4112" s="412">
        <v>208105718</v>
      </c>
      <c r="K4112" s="385">
        <v>46188</v>
      </c>
      <c r="L4112" s="369" t="s">
        <v>6549</v>
      </c>
      <c r="M4112" s="390">
        <v>46188.504884259259</v>
      </c>
      <c r="N4112" s="366" t="s">
        <v>377</v>
      </c>
      <c r="O4112" s="367" t="s">
        <v>371</v>
      </c>
      <c r="P4112" s="368" t="str">
        <f t="shared" si="184"/>
        <v>Revenue</v>
      </c>
      <c r="Q4112" s="366" t="s">
        <v>2716</v>
      </c>
      <c r="R4112" s="366" t="s">
        <v>6556</v>
      </c>
      <c r="S4112" s="366">
        <v>750200</v>
      </c>
    </row>
    <row r="4113" spans="1:19" ht="45" hidden="1" outlineLevel="1">
      <c r="B4113" s="384">
        <v>2026</v>
      </c>
      <c r="C4113" s="384">
        <v>12</v>
      </c>
      <c r="D4113" s="367" t="s">
        <v>5</v>
      </c>
      <c r="E4113" s="367" t="s">
        <v>6</v>
      </c>
      <c r="F4113" s="389" t="s">
        <v>6547</v>
      </c>
      <c r="G4113" s="385">
        <v>46181</v>
      </c>
      <c r="H4113" s="367" t="s">
        <v>337</v>
      </c>
      <c r="I4113" s="368" t="str">
        <f>VLOOKUP(H4113,'[4]Source Codes'!A$2:B$115,2,FALSE)</f>
        <v>Facilities Mngmnt Intfc Jrnls</v>
      </c>
      <c r="J4113" s="412">
        <v>-1105775.52</v>
      </c>
      <c r="K4113" s="385">
        <v>46188</v>
      </c>
      <c r="L4113" s="369" t="s">
        <v>6550</v>
      </c>
      <c r="M4113" s="390">
        <v>46188.869872685187</v>
      </c>
      <c r="N4113" s="366" t="s">
        <v>356</v>
      </c>
      <c r="O4113" s="367" t="s">
        <v>367</v>
      </c>
      <c r="P4113" s="368" t="str">
        <f t="shared" si="184"/>
        <v>Expense</v>
      </c>
      <c r="Q4113" s="366" t="s">
        <v>2240</v>
      </c>
      <c r="R4113" s="366" t="s">
        <v>6566</v>
      </c>
      <c r="S4113" s="366" t="s">
        <v>6557</v>
      </c>
    </row>
    <row r="4114" spans="1:19" ht="12.75" hidden="1" customHeight="1" outlineLevel="1">
      <c r="B4114" s="384">
        <v>2026</v>
      </c>
      <c r="C4114" s="384">
        <v>12</v>
      </c>
      <c r="D4114" s="367" t="s">
        <v>5</v>
      </c>
      <c r="E4114" s="367" t="s">
        <v>6</v>
      </c>
      <c r="F4114" s="389" t="s">
        <v>6548</v>
      </c>
      <c r="G4114" s="385">
        <v>46183</v>
      </c>
      <c r="H4114" s="367" t="s">
        <v>7</v>
      </c>
      <c r="I4114" s="368" t="str">
        <f>VLOOKUP(H4114,'[4]Source Codes'!A$2:B$115,2,FALSE)</f>
        <v>HRMS Interface Journals</v>
      </c>
      <c r="J4114" s="412">
        <v>-84873493.030000001</v>
      </c>
      <c r="K4114" s="385">
        <v>46188</v>
      </c>
      <c r="L4114" s="369" t="s">
        <v>406</v>
      </c>
      <c r="M4114" s="390">
        <v>46188.357870370368</v>
      </c>
      <c r="N4114" s="366" t="s">
        <v>3624</v>
      </c>
      <c r="O4114" s="367" t="s">
        <v>371</v>
      </c>
      <c r="P4114" s="368" t="str">
        <f t="shared" si="184"/>
        <v>Expense</v>
      </c>
      <c r="Q4114" s="366" t="s">
        <v>379</v>
      </c>
      <c r="R4114" s="366" t="s">
        <v>6562</v>
      </c>
      <c r="S4114" s="366" t="s">
        <v>203</v>
      </c>
    </row>
    <row r="4115" spans="1:19" ht="12.75" customHeight="1" collapsed="1">
      <c r="J4115" s="413">
        <f>SUM(J4108:J4114)</f>
        <v>120212291.07999998</v>
      </c>
    </row>
    <row r="4117" spans="1:19" ht="12.75" customHeight="1">
      <c r="A4117" s="378" t="s">
        <v>6569</v>
      </c>
    </row>
    <row r="4118" spans="1:19" ht="30" hidden="1" outlineLevel="1">
      <c r="B4118" s="384">
        <v>2026</v>
      </c>
      <c r="C4118" s="384">
        <v>12</v>
      </c>
      <c r="D4118" s="367" t="s">
        <v>5</v>
      </c>
      <c r="E4118" s="367" t="s">
        <v>6</v>
      </c>
      <c r="F4118" s="389" t="s">
        <v>6570</v>
      </c>
      <c r="G4118" s="385">
        <v>46191</v>
      </c>
      <c r="H4118" s="367" t="s">
        <v>14</v>
      </c>
      <c r="I4118" s="368" t="str">
        <f>VLOOKUP(H4118,'[4]Source Codes'!A$2:B$115,2,FALSE)</f>
        <v>AP Warrant Issuance</v>
      </c>
      <c r="J4118" s="412">
        <v>-1458285</v>
      </c>
      <c r="K4118" s="385">
        <v>46189</v>
      </c>
      <c r="L4118" s="369" t="s">
        <v>6587</v>
      </c>
      <c r="M4118" s="390">
        <v>46189.759641203702</v>
      </c>
      <c r="N4118" s="366" t="s">
        <v>356</v>
      </c>
      <c r="O4118" s="367" t="s">
        <v>368</v>
      </c>
      <c r="P4118" s="368" t="str">
        <f t="shared" ref="P4118:P4121" si="185">IF(J4118&gt;0,"Revenue",IF(J4118&lt;0,"Expense"))</f>
        <v>Expense</v>
      </c>
      <c r="Q4118" s="366" t="s">
        <v>2154</v>
      </c>
      <c r="R4118" s="366" t="s">
        <v>2154</v>
      </c>
      <c r="S4118" s="366" t="s">
        <v>203</v>
      </c>
    </row>
    <row r="4119" spans="1:19" ht="75" hidden="1" outlineLevel="1">
      <c r="B4119" s="384">
        <v>2026</v>
      </c>
      <c r="C4119" s="384">
        <v>12</v>
      </c>
      <c r="D4119" s="367" t="s">
        <v>5</v>
      </c>
      <c r="E4119" s="367" t="s">
        <v>6</v>
      </c>
      <c r="F4119" s="389" t="s">
        <v>6571</v>
      </c>
      <c r="G4119" s="385">
        <v>46189</v>
      </c>
      <c r="H4119" s="367" t="s">
        <v>11</v>
      </c>
      <c r="I4119" s="368" t="str">
        <f>VLOOKUP(H4119,'[4]Source Codes'!A$2:B$115,2,FALSE)</f>
        <v>AR Payments</v>
      </c>
      <c r="J4119" s="412">
        <v>2125937.91</v>
      </c>
      <c r="K4119" s="385">
        <v>46189</v>
      </c>
      <c r="L4119" s="369" t="s">
        <v>6576</v>
      </c>
      <c r="M4119" s="390">
        <v>46189.752164351848</v>
      </c>
      <c r="N4119" s="366" t="s">
        <v>359</v>
      </c>
      <c r="O4119" s="367" t="s">
        <v>357</v>
      </c>
      <c r="P4119" s="368" t="str">
        <f t="shared" si="185"/>
        <v>Revenue</v>
      </c>
      <c r="Q4119" s="366" t="s">
        <v>2157</v>
      </c>
      <c r="R4119" s="366" t="s">
        <v>2157</v>
      </c>
      <c r="S4119" s="366" t="s">
        <v>2231</v>
      </c>
    </row>
    <row r="4120" spans="1:19" ht="30" hidden="1" outlineLevel="1">
      <c r="B4120" s="384">
        <v>2026</v>
      </c>
      <c r="C4120" s="384">
        <v>12</v>
      </c>
      <c r="D4120" s="367" t="s">
        <v>5</v>
      </c>
      <c r="E4120" s="367" t="s">
        <v>6</v>
      </c>
      <c r="F4120" s="389" t="s">
        <v>6572</v>
      </c>
      <c r="G4120" s="385">
        <v>46189</v>
      </c>
      <c r="H4120" s="367" t="s">
        <v>9</v>
      </c>
      <c r="I4120" s="368" t="str">
        <f>VLOOKUP(H4120,'[4]Source Codes'!A$2:B$115,2,FALSE)</f>
        <v>On Line Journal Entries</v>
      </c>
      <c r="J4120" s="412">
        <v>28924046.82</v>
      </c>
      <c r="K4120" s="385">
        <v>46189</v>
      </c>
      <c r="L4120" s="369" t="s">
        <v>6574</v>
      </c>
      <c r="M4120" s="390">
        <v>46189.676018518519</v>
      </c>
      <c r="N4120" s="366" t="s">
        <v>377</v>
      </c>
      <c r="O4120" s="367" t="s">
        <v>370</v>
      </c>
      <c r="P4120" s="368" t="str">
        <f t="shared" si="185"/>
        <v>Revenue</v>
      </c>
      <c r="Q4120" s="366" t="s">
        <v>2619</v>
      </c>
      <c r="R4120" s="366" t="s">
        <v>5814</v>
      </c>
      <c r="S4120" s="366">
        <v>778120</v>
      </c>
    </row>
    <row r="4121" spans="1:19" ht="45" hidden="1" outlineLevel="1">
      <c r="B4121" s="384">
        <v>2026</v>
      </c>
      <c r="C4121" s="384">
        <v>12</v>
      </c>
      <c r="D4121" s="367" t="s">
        <v>5</v>
      </c>
      <c r="E4121" s="367" t="s">
        <v>6</v>
      </c>
      <c r="F4121" s="389" t="s">
        <v>6573</v>
      </c>
      <c r="G4121" s="385">
        <v>46189</v>
      </c>
      <c r="H4121" s="367" t="s">
        <v>9</v>
      </c>
      <c r="I4121" s="368" t="str">
        <f>VLOOKUP(H4121,'[4]Source Codes'!A$2:B$115,2,FALSE)</f>
        <v>On Line Journal Entries</v>
      </c>
      <c r="J4121" s="412">
        <v>1965408.93</v>
      </c>
      <c r="K4121" s="385">
        <v>46189</v>
      </c>
      <c r="L4121" s="369" t="s">
        <v>6575</v>
      </c>
      <c r="M4121" s="390">
        <v>46189.870266203703</v>
      </c>
      <c r="N4121" s="368" t="s">
        <v>387</v>
      </c>
      <c r="O4121" s="367" t="s">
        <v>358</v>
      </c>
      <c r="P4121" s="368" t="str">
        <f t="shared" si="185"/>
        <v>Revenue</v>
      </c>
      <c r="Q4121" s="366" t="s">
        <v>3750</v>
      </c>
      <c r="R4121" s="365" t="s">
        <v>3750</v>
      </c>
      <c r="S4121" s="366">
        <v>790600</v>
      </c>
    </row>
    <row r="4122" spans="1:19" ht="12.75" customHeight="1" collapsed="1">
      <c r="J4122" s="413">
        <f>SUM(J4118:J4121)</f>
        <v>31557108.66</v>
      </c>
    </row>
    <row r="4123" spans="1:19" ht="12.75" customHeight="1">
      <c r="A4123" s="378" t="s">
        <v>6577</v>
      </c>
    </row>
    <row r="4124" spans="1:19" ht="25.9" hidden="1" customHeight="1" outlineLevel="1">
      <c r="B4124" s="384">
        <v>2026</v>
      </c>
      <c r="C4124" s="384">
        <v>12</v>
      </c>
      <c r="D4124" s="367" t="s">
        <v>5</v>
      </c>
      <c r="E4124" s="367" t="s">
        <v>6</v>
      </c>
      <c r="F4124" s="389" t="s">
        <v>6578</v>
      </c>
      <c r="G4124" s="385">
        <v>46191</v>
      </c>
      <c r="H4124" s="367" t="s">
        <v>14</v>
      </c>
      <c r="I4124" s="368" t="str">
        <f>VLOOKUP(H4124,'[4]Source Codes'!A$2:B$115,2,FALSE)</f>
        <v>AP Warrant Issuance</v>
      </c>
      <c r="J4124" s="412">
        <v>-1596270.61</v>
      </c>
      <c r="K4124" s="385">
        <v>46191</v>
      </c>
      <c r="L4124" s="369" t="s">
        <v>6588</v>
      </c>
      <c r="M4124" s="390">
        <v>46191.759930555556</v>
      </c>
      <c r="N4124" s="366" t="s">
        <v>356</v>
      </c>
      <c r="O4124" s="367" t="s">
        <v>368</v>
      </c>
      <c r="P4124" s="368" t="str">
        <f t="shared" ref="P4124:P4131" si="186">IF(J4124&gt;0,"Revenue",IF(J4124&lt;0,"Expense"))</f>
        <v>Expense</v>
      </c>
      <c r="Q4124" s="366" t="s">
        <v>2154</v>
      </c>
      <c r="R4124" s="366" t="s">
        <v>2154</v>
      </c>
      <c r="S4124" s="366" t="s">
        <v>203</v>
      </c>
    </row>
    <row r="4125" spans="1:19" ht="34.5" hidden="1" customHeight="1" outlineLevel="1">
      <c r="B4125" s="384">
        <v>2026</v>
      </c>
      <c r="C4125" s="384">
        <v>12</v>
      </c>
      <c r="D4125" s="367" t="s">
        <v>5</v>
      </c>
      <c r="E4125" s="367" t="s">
        <v>6</v>
      </c>
      <c r="F4125" s="389" t="s">
        <v>6579</v>
      </c>
      <c r="G4125" s="385">
        <v>46191</v>
      </c>
      <c r="H4125" s="367" t="s">
        <v>12</v>
      </c>
      <c r="I4125" s="368" t="str">
        <f>VLOOKUP(H4125,'[4]Source Codes'!A$2:B$115,2,FALSE)</f>
        <v>AR Direct Cash Journal</v>
      </c>
      <c r="J4125" s="412">
        <v>6006226.4100000001</v>
      </c>
      <c r="K4125" s="385">
        <v>46191</v>
      </c>
      <c r="L4125" s="387" t="s">
        <v>6589</v>
      </c>
      <c r="M4125" s="390">
        <v>46191.752442129633</v>
      </c>
      <c r="N4125" s="368" t="s">
        <v>387</v>
      </c>
      <c r="O4125" s="368" t="s">
        <v>358</v>
      </c>
      <c r="P4125" s="368" t="str">
        <f t="shared" si="186"/>
        <v>Revenue</v>
      </c>
      <c r="Q4125" s="366" t="s">
        <v>2629</v>
      </c>
      <c r="R4125" s="366" t="s">
        <v>6100</v>
      </c>
      <c r="S4125" s="366">
        <v>782000</v>
      </c>
    </row>
    <row r="4126" spans="1:19" ht="40.9" hidden="1" customHeight="1" outlineLevel="1">
      <c r="B4126" s="384">
        <v>2026</v>
      </c>
      <c r="C4126" s="384">
        <v>12</v>
      </c>
      <c r="D4126" s="367" t="s">
        <v>5</v>
      </c>
      <c r="E4126" s="367" t="s">
        <v>6</v>
      </c>
      <c r="F4126" s="389" t="s">
        <v>6580</v>
      </c>
      <c r="G4126" s="385">
        <v>46183</v>
      </c>
      <c r="H4126" s="367" t="s">
        <v>12</v>
      </c>
      <c r="I4126" s="368" t="str">
        <f>VLOOKUP(H4126,'[4]Source Codes'!A$2:B$115,2,FALSE)</f>
        <v>AR Direct Cash Journal</v>
      </c>
      <c r="J4126" s="412">
        <v>1447311.45</v>
      </c>
      <c r="K4126" s="385">
        <v>46191</v>
      </c>
      <c r="L4126" s="369" t="s">
        <v>6590</v>
      </c>
      <c r="M4126" s="390">
        <v>46191.752442129633</v>
      </c>
      <c r="N4126" s="367" t="s">
        <v>356</v>
      </c>
      <c r="O4126" s="368" t="s">
        <v>370</v>
      </c>
      <c r="P4126" s="368" t="str">
        <f t="shared" si="186"/>
        <v>Revenue</v>
      </c>
      <c r="Q4126" s="366" t="s">
        <v>2264</v>
      </c>
      <c r="R4126" s="393" t="s">
        <v>6591</v>
      </c>
      <c r="S4126" s="395" t="s">
        <v>203</v>
      </c>
    </row>
    <row r="4127" spans="1:19" ht="44.25" hidden="1" customHeight="1" outlineLevel="1">
      <c r="B4127" s="384">
        <v>2026</v>
      </c>
      <c r="C4127" s="384">
        <v>12</v>
      </c>
      <c r="D4127" s="367" t="s">
        <v>5</v>
      </c>
      <c r="E4127" s="367" t="s">
        <v>6</v>
      </c>
      <c r="F4127" s="389" t="s">
        <v>6581</v>
      </c>
      <c r="G4127" s="385">
        <v>46191</v>
      </c>
      <c r="H4127" s="367" t="s">
        <v>11</v>
      </c>
      <c r="I4127" s="368" t="str">
        <f>VLOOKUP(H4127,'[4]Source Codes'!A$2:B$115,2,FALSE)</f>
        <v>AR Payments</v>
      </c>
      <c r="J4127" s="412">
        <v>1466399.32</v>
      </c>
      <c r="K4127" s="385">
        <v>46191</v>
      </c>
      <c r="L4127" s="369" t="s">
        <v>6592</v>
      </c>
      <c r="M4127" s="390">
        <v>46191.752442129633</v>
      </c>
      <c r="N4127" s="368" t="s">
        <v>387</v>
      </c>
      <c r="O4127" s="368" t="s">
        <v>386</v>
      </c>
      <c r="P4127" s="368" t="str">
        <f t="shared" si="186"/>
        <v>Revenue</v>
      </c>
      <c r="Q4127" s="366" t="s">
        <v>3695</v>
      </c>
      <c r="R4127" s="366" t="s">
        <v>3695</v>
      </c>
      <c r="S4127" s="366">
        <v>118500</v>
      </c>
    </row>
    <row r="4128" spans="1:19" ht="27.4" hidden="1" customHeight="1" outlineLevel="1">
      <c r="B4128" s="384">
        <v>2026</v>
      </c>
      <c r="C4128" s="384">
        <v>12</v>
      </c>
      <c r="D4128" s="367" t="s">
        <v>5</v>
      </c>
      <c r="E4128" s="367" t="s">
        <v>6</v>
      </c>
      <c r="F4128" s="389" t="s">
        <v>6582</v>
      </c>
      <c r="G4128" s="385">
        <v>46190</v>
      </c>
      <c r="H4128" s="367" t="s">
        <v>11</v>
      </c>
      <c r="I4128" s="368" t="str">
        <f>VLOOKUP(H4128,'[4]Source Codes'!A$2:B$115,2,FALSE)</f>
        <v>AR Payments</v>
      </c>
      <c r="J4128" s="412">
        <v>1211541.74</v>
      </c>
      <c r="K4128" s="385">
        <v>46191</v>
      </c>
      <c r="L4128" s="369" t="s">
        <v>6593</v>
      </c>
      <c r="M4128" s="390">
        <v>46191.752442129633</v>
      </c>
      <c r="N4128" s="368" t="s">
        <v>356</v>
      </c>
      <c r="O4128" s="368" t="s">
        <v>362</v>
      </c>
      <c r="P4128" s="368" t="str">
        <f t="shared" si="186"/>
        <v>Revenue</v>
      </c>
      <c r="Q4128" s="366" t="s">
        <v>2360</v>
      </c>
      <c r="R4128" s="366" t="s">
        <v>2362</v>
      </c>
      <c r="S4128" s="366" t="s">
        <v>2361</v>
      </c>
    </row>
    <row r="4129" spans="1:19" ht="64.900000000000006" hidden="1" customHeight="1" outlineLevel="1">
      <c r="B4129" s="384">
        <v>2026</v>
      </c>
      <c r="C4129" s="384">
        <v>12</v>
      </c>
      <c r="D4129" s="367" t="s">
        <v>5</v>
      </c>
      <c r="E4129" s="367" t="s">
        <v>6</v>
      </c>
      <c r="F4129" s="389" t="s">
        <v>6583</v>
      </c>
      <c r="G4129" s="385">
        <v>46190</v>
      </c>
      <c r="H4129" s="367" t="s">
        <v>11</v>
      </c>
      <c r="I4129" s="368" t="str">
        <f>VLOOKUP(H4129,'[4]Source Codes'!A$2:B$115,2,FALSE)</f>
        <v>AR Payments</v>
      </c>
      <c r="J4129" s="412">
        <v>8565855.8599999994</v>
      </c>
      <c r="K4129" s="385">
        <v>46191</v>
      </c>
      <c r="L4129" s="369" t="s">
        <v>6594</v>
      </c>
      <c r="M4129" s="390">
        <v>46191.752442129633</v>
      </c>
      <c r="N4129" s="366" t="s">
        <v>359</v>
      </c>
      <c r="O4129" s="367" t="s">
        <v>357</v>
      </c>
      <c r="P4129" s="368" t="str">
        <f t="shared" si="186"/>
        <v>Revenue</v>
      </c>
      <c r="Q4129" s="366" t="s">
        <v>2157</v>
      </c>
      <c r="R4129" s="366" t="s">
        <v>2157</v>
      </c>
      <c r="S4129" s="366" t="s">
        <v>2231</v>
      </c>
    </row>
    <row r="4130" spans="1:19" ht="63" hidden="1" customHeight="1" outlineLevel="1">
      <c r="B4130" s="384">
        <v>2026</v>
      </c>
      <c r="C4130" s="384">
        <v>12</v>
      </c>
      <c r="D4130" s="367" t="s">
        <v>5</v>
      </c>
      <c r="E4130" s="367" t="s">
        <v>6</v>
      </c>
      <c r="F4130" s="389" t="s">
        <v>6584</v>
      </c>
      <c r="G4130" s="385">
        <v>46191</v>
      </c>
      <c r="H4130" s="367" t="s">
        <v>11</v>
      </c>
      <c r="I4130" s="368" t="str">
        <f>VLOOKUP(H4130,'[4]Source Codes'!A$2:B$115,2,FALSE)</f>
        <v>AR Payments</v>
      </c>
      <c r="J4130" s="412">
        <v>1784912.03</v>
      </c>
      <c r="K4130" s="385">
        <v>46191</v>
      </c>
      <c r="L4130" s="369" t="s">
        <v>6595</v>
      </c>
      <c r="M4130" s="390">
        <v>46191.752442129633</v>
      </c>
      <c r="N4130" s="366" t="s">
        <v>359</v>
      </c>
      <c r="O4130" s="367" t="s">
        <v>357</v>
      </c>
      <c r="P4130" s="368" t="str">
        <f t="shared" si="186"/>
        <v>Revenue</v>
      </c>
      <c r="Q4130" s="366" t="s">
        <v>2157</v>
      </c>
      <c r="R4130" s="366" t="s">
        <v>2157</v>
      </c>
      <c r="S4130" s="366" t="s">
        <v>2231</v>
      </c>
    </row>
    <row r="4131" spans="1:19" ht="30" hidden="1" outlineLevel="1">
      <c r="B4131" s="384">
        <v>2026</v>
      </c>
      <c r="C4131" s="384">
        <v>12</v>
      </c>
      <c r="D4131" s="367" t="s">
        <v>5</v>
      </c>
      <c r="E4131" s="367" t="s">
        <v>6</v>
      </c>
      <c r="F4131" s="389" t="s">
        <v>6585</v>
      </c>
      <c r="G4131" s="385">
        <v>46188</v>
      </c>
      <c r="H4131" s="367" t="s">
        <v>8</v>
      </c>
      <c r="I4131" s="368" t="str">
        <f>VLOOKUP(H4131,'[4]Source Codes'!A$2:B$115,2,FALSE)</f>
        <v>Prch,Cntrl Mail,Flt,Prntg,Sply</v>
      </c>
      <c r="J4131" s="412">
        <v>-2481454.36</v>
      </c>
      <c r="K4131" s="385">
        <v>46191</v>
      </c>
      <c r="L4131" s="369" t="s">
        <v>6586</v>
      </c>
      <c r="M4131" s="390">
        <v>46191.438506944447</v>
      </c>
      <c r="N4131" s="367" t="s">
        <v>356</v>
      </c>
      <c r="O4131" s="368" t="s">
        <v>382</v>
      </c>
      <c r="P4131" s="368" t="str">
        <f t="shared" si="186"/>
        <v>Expense</v>
      </c>
      <c r="Q4131" s="366" t="s">
        <v>2328</v>
      </c>
      <c r="R4131" s="393" t="s">
        <v>2329</v>
      </c>
      <c r="S4131" s="366">
        <v>527690</v>
      </c>
    </row>
    <row r="4132" spans="1:19" ht="12.75" customHeight="1" collapsed="1">
      <c r="J4132" s="413">
        <f>SUM(J4124:J4131)</f>
        <v>16404521.840000004</v>
      </c>
    </row>
    <row r="4134" spans="1:19" ht="12.75" customHeight="1">
      <c r="A4134" s="378" t="s">
        <v>6596</v>
      </c>
    </row>
    <row r="4135" spans="1:19" ht="30" hidden="1" outlineLevel="1">
      <c r="B4135" s="384">
        <v>2026</v>
      </c>
      <c r="C4135" s="384">
        <v>12</v>
      </c>
      <c r="D4135" s="367" t="s">
        <v>5</v>
      </c>
      <c r="E4135" s="367" t="s">
        <v>6</v>
      </c>
      <c r="F4135" s="389" t="s">
        <v>6597</v>
      </c>
      <c r="G4135" s="385">
        <v>46197</v>
      </c>
      <c r="H4135" s="367" t="s">
        <v>14</v>
      </c>
      <c r="I4135" s="368" t="str">
        <f>VLOOKUP(H4135,'[4]Source Codes'!A$2:B$115,2,FALSE)</f>
        <v>AP Warrant Issuance</v>
      </c>
      <c r="J4135" s="412">
        <v>-1804205.8</v>
      </c>
      <c r="K4135" s="385">
        <v>46195</v>
      </c>
      <c r="L4135" s="369" t="s">
        <v>6600</v>
      </c>
      <c r="M4135" s="390">
        <v>46195.75854166667</v>
      </c>
      <c r="N4135" s="366" t="s">
        <v>356</v>
      </c>
      <c r="O4135" s="367" t="s">
        <v>368</v>
      </c>
      <c r="P4135" s="368" t="str">
        <f t="shared" ref="P4135:P4137" si="187">IF(J4135&gt;0,"Revenue",IF(J4135&lt;0,"Expense"))</f>
        <v>Expense</v>
      </c>
      <c r="Q4135" s="366" t="s">
        <v>2154</v>
      </c>
      <c r="R4135" s="366" t="s">
        <v>2154</v>
      </c>
      <c r="S4135" s="366" t="s">
        <v>203</v>
      </c>
    </row>
    <row r="4136" spans="1:19" ht="30" hidden="1" outlineLevel="1">
      <c r="B4136" s="384">
        <v>2026</v>
      </c>
      <c r="C4136" s="384">
        <v>12</v>
      </c>
      <c r="D4136" s="367" t="s">
        <v>5</v>
      </c>
      <c r="E4136" s="367" t="s">
        <v>6</v>
      </c>
      <c r="F4136" s="389" t="s">
        <v>6598</v>
      </c>
      <c r="G4136" s="385">
        <v>46195</v>
      </c>
      <c r="H4136" s="367" t="s">
        <v>14</v>
      </c>
      <c r="I4136" s="368" t="str">
        <f>VLOOKUP(H4136,'[4]Source Codes'!A$2:B$115,2,FALSE)</f>
        <v>AP Warrant Issuance</v>
      </c>
      <c r="J4136" s="412">
        <v>-1740539.96</v>
      </c>
      <c r="K4136" s="385">
        <v>46195</v>
      </c>
      <c r="L4136" s="369" t="s">
        <v>6601</v>
      </c>
      <c r="M4136" s="390">
        <v>46195.75854166667</v>
      </c>
      <c r="N4136" s="366" t="s">
        <v>356</v>
      </c>
      <c r="O4136" s="367" t="s">
        <v>364</v>
      </c>
      <c r="P4136" s="368" t="str">
        <f t="shared" si="187"/>
        <v>Expense</v>
      </c>
      <c r="Q4136" s="366" t="s">
        <v>2344</v>
      </c>
      <c r="R4136" s="366" t="s">
        <v>2344</v>
      </c>
      <c r="S4136" s="366" t="s">
        <v>203</v>
      </c>
    </row>
    <row r="4137" spans="1:19" ht="30" hidden="1" outlineLevel="1">
      <c r="B4137" s="384">
        <v>2026</v>
      </c>
      <c r="C4137" s="384">
        <v>12</v>
      </c>
      <c r="D4137" s="367" t="s">
        <v>5</v>
      </c>
      <c r="E4137" s="367" t="s">
        <v>6</v>
      </c>
      <c r="F4137" s="389" t="s">
        <v>6599</v>
      </c>
      <c r="G4137" s="385">
        <v>46195</v>
      </c>
      <c r="H4137" s="367" t="s">
        <v>11</v>
      </c>
      <c r="I4137" s="368" t="str">
        <f>VLOOKUP(H4137,'[4]Source Codes'!A$2:B$115,2,FALSE)</f>
        <v>AR Payments</v>
      </c>
      <c r="J4137" s="412">
        <v>2254686.88</v>
      </c>
      <c r="K4137" s="385">
        <v>46195</v>
      </c>
      <c r="L4137" s="369" t="s">
        <v>5395</v>
      </c>
      <c r="M4137" s="390">
        <v>46195.752233796295</v>
      </c>
      <c r="N4137" s="366" t="s">
        <v>359</v>
      </c>
      <c r="O4137" s="367" t="s">
        <v>357</v>
      </c>
      <c r="P4137" s="368" t="str">
        <f t="shared" si="187"/>
        <v>Revenue</v>
      </c>
      <c r="Q4137" s="366" t="s">
        <v>2157</v>
      </c>
      <c r="R4137" s="366" t="s">
        <v>2157</v>
      </c>
      <c r="S4137" s="366">
        <v>118501</v>
      </c>
    </row>
    <row r="4138" spans="1:19" ht="15" collapsed="1">
      <c r="J4138" s="413">
        <f>SUM(J4135:J4137)</f>
        <v>-1290058.8799999999</v>
      </c>
    </row>
    <row r="4140" spans="1:19" ht="12.75" customHeight="1">
      <c r="A4140" s="378" t="s">
        <v>6602</v>
      </c>
    </row>
    <row r="4141" spans="1:19" ht="30" hidden="1" outlineLevel="1">
      <c r="B4141" s="384">
        <v>2026</v>
      </c>
      <c r="C4141" s="384">
        <v>12</v>
      </c>
      <c r="D4141" s="367" t="s">
        <v>5</v>
      </c>
      <c r="E4141" s="367" t="s">
        <v>6</v>
      </c>
      <c r="F4141" s="389" t="s">
        <v>6603</v>
      </c>
      <c r="G4141" s="385">
        <v>46191</v>
      </c>
      <c r="H4141" s="367" t="s">
        <v>12</v>
      </c>
      <c r="I4141" s="368" t="str">
        <f>VLOOKUP(H4141,'[4]Source Codes'!A$2:B$115,2,FALSE)</f>
        <v>AR Direct Cash Journal</v>
      </c>
      <c r="J4141" s="412">
        <v>7309145.46</v>
      </c>
      <c r="K4141" s="385">
        <v>46196</v>
      </c>
      <c r="L4141" s="369" t="s">
        <v>6606</v>
      </c>
      <c r="M4141" s="390">
        <v>46196.75204861111</v>
      </c>
      <c r="N4141" s="366" t="s">
        <v>359</v>
      </c>
      <c r="O4141" s="367" t="s">
        <v>370</v>
      </c>
      <c r="P4141" s="368" t="str">
        <f t="shared" ref="P4141:P4142" si="188">IF(J4141&gt;0,"Revenue",IF(J4141&lt;0,"Expense"))</f>
        <v>Revenue</v>
      </c>
      <c r="Q4141" s="366" t="s">
        <v>2264</v>
      </c>
      <c r="R4141" s="366" t="s">
        <v>2264</v>
      </c>
      <c r="S4141" s="366" t="s">
        <v>6607</v>
      </c>
    </row>
    <row r="4142" spans="1:19" ht="45" hidden="1" outlineLevel="1">
      <c r="B4142" s="384">
        <v>2026</v>
      </c>
      <c r="C4142" s="384">
        <v>12</v>
      </c>
      <c r="D4142" s="367" t="s">
        <v>5</v>
      </c>
      <c r="E4142" s="367" t="s">
        <v>6</v>
      </c>
      <c r="F4142" s="389" t="s">
        <v>6604</v>
      </c>
      <c r="G4142" s="385">
        <v>46191</v>
      </c>
      <c r="H4142" s="367" t="s">
        <v>9</v>
      </c>
      <c r="I4142" s="368" t="str">
        <f>VLOOKUP(H4142,'[4]Source Codes'!A$2:B$115,2,FALSE)</f>
        <v>On Line Journal Entries</v>
      </c>
      <c r="J4142" s="412">
        <v>-35893144</v>
      </c>
      <c r="K4142" s="385">
        <v>46196</v>
      </c>
      <c r="L4142" s="369" t="s">
        <v>6605</v>
      </c>
      <c r="M4142" s="390">
        <v>46196.578738425924</v>
      </c>
      <c r="N4142" s="366" t="s">
        <v>387</v>
      </c>
      <c r="O4142" s="367" t="s">
        <v>358</v>
      </c>
      <c r="P4142" s="368" t="str">
        <f t="shared" si="188"/>
        <v>Expense</v>
      </c>
      <c r="Q4142" s="366" t="s">
        <v>6608</v>
      </c>
      <c r="R4142" s="366" t="s">
        <v>6608</v>
      </c>
      <c r="S4142" s="366">
        <v>551100</v>
      </c>
    </row>
    <row r="4143" spans="1:19" ht="15" collapsed="1">
      <c r="J4143" s="413">
        <f>SUM(J4141:J4142)</f>
        <v>-28583998.539999999</v>
      </c>
    </row>
    <row r="4145" spans="1:19" ht="12.75" customHeight="1">
      <c r="A4145" s="378" t="s">
        <v>6609</v>
      </c>
    </row>
    <row r="4146" spans="1:19" ht="30" hidden="1" outlineLevel="1">
      <c r="B4146" s="384">
        <v>2026</v>
      </c>
      <c r="C4146" s="384">
        <v>12</v>
      </c>
      <c r="D4146" s="367" t="s">
        <v>5</v>
      </c>
      <c r="E4146" s="367" t="s">
        <v>6</v>
      </c>
      <c r="F4146" s="389" t="s">
        <v>6610</v>
      </c>
      <c r="G4146" s="385">
        <v>46199</v>
      </c>
      <c r="H4146" s="367" t="s">
        <v>14</v>
      </c>
      <c r="I4146" s="368" t="str">
        <f>VLOOKUP(H4146,'[4]Source Codes'!A$2:B$115,2,FALSE)</f>
        <v>AP Warrant Issuance</v>
      </c>
      <c r="J4146" s="412">
        <v>-2127747.5499999998</v>
      </c>
      <c r="K4146" s="385">
        <v>46197</v>
      </c>
      <c r="L4146" s="369" t="s">
        <v>6618</v>
      </c>
      <c r="M4146" s="390">
        <v>46197.758379629631</v>
      </c>
      <c r="N4146" s="366" t="s">
        <v>356</v>
      </c>
      <c r="O4146" s="367" t="s">
        <v>368</v>
      </c>
      <c r="P4146" s="368" t="str">
        <f t="shared" ref="P4146:P4209" si="189">IF(J4146&gt;0,"Revenue",IF(J4146&lt;0,"Expense"))</f>
        <v>Expense</v>
      </c>
      <c r="Q4146" s="366" t="s">
        <v>2154</v>
      </c>
      <c r="R4146" s="366" t="s">
        <v>2154</v>
      </c>
      <c r="S4146" s="366" t="s">
        <v>203</v>
      </c>
    </row>
    <row r="4147" spans="1:19" ht="30" hidden="1" outlineLevel="1">
      <c r="B4147" s="384">
        <v>2026</v>
      </c>
      <c r="C4147" s="384">
        <v>12</v>
      </c>
      <c r="D4147" s="367" t="s">
        <v>5</v>
      </c>
      <c r="E4147" s="367" t="s">
        <v>6</v>
      </c>
      <c r="F4147" s="389" t="s">
        <v>6611</v>
      </c>
      <c r="G4147" s="385">
        <v>46197</v>
      </c>
      <c r="H4147" s="367" t="s">
        <v>14</v>
      </c>
      <c r="I4147" s="368" t="str">
        <f>VLOOKUP(H4147,'[4]Source Codes'!A$2:B$115,2,FALSE)</f>
        <v>AP Warrant Issuance</v>
      </c>
      <c r="J4147" s="412">
        <v>-1365884.95</v>
      </c>
      <c r="K4147" s="385">
        <v>46197</v>
      </c>
      <c r="L4147" s="369" t="s">
        <v>6619</v>
      </c>
      <c r="M4147" s="390">
        <v>46197.758379629631</v>
      </c>
      <c r="N4147" s="366" t="s">
        <v>356</v>
      </c>
      <c r="O4147" s="367" t="s">
        <v>368</v>
      </c>
      <c r="P4147" s="368" t="str">
        <f t="shared" si="189"/>
        <v>Expense</v>
      </c>
      <c r="Q4147" s="366" t="s">
        <v>2154</v>
      </c>
      <c r="R4147" s="366" t="s">
        <v>2154</v>
      </c>
      <c r="S4147" s="366" t="s">
        <v>203</v>
      </c>
    </row>
    <row r="4148" spans="1:19" ht="30" hidden="1" outlineLevel="1">
      <c r="B4148" s="384">
        <v>2026</v>
      </c>
      <c r="C4148" s="384">
        <v>12</v>
      </c>
      <c r="D4148" s="367" t="s">
        <v>5</v>
      </c>
      <c r="E4148" s="367" t="s">
        <v>6</v>
      </c>
      <c r="F4148" s="389" t="s">
        <v>6612</v>
      </c>
      <c r="G4148" s="385">
        <v>46196</v>
      </c>
      <c r="H4148" s="367" t="s">
        <v>12</v>
      </c>
      <c r="I4148" s="368" t="str">
        <f>VLOOKUP(H4148,'[4]Source Codes'!A$2:B$115,2,FALSE)</f>
        <v>AR Direct Cash Journal</v>
      </c>
      <c r="J4148" s="412">
        <v>4557087.3099999996</v>
      </c>
      <c r="K4148" s="385">
        <v>46197</v>
      </c>
      <c r="L4148" s="369" t="s">
        <v>512</v>
      </c>
      <c r="M4148" s="390">
        <v>46197.752291666664</v>
      </c>
      <c r="N4148" s="368" t="s">
        <v>387</v>
      </c>
      <c r="O4148" s="368" t="s">
        <v>371</v>
      </c>
      <c r="P4148" s="368" t="str">
        <f t="shared" si="189"/>
        <v>Revenue</v>
      </c>
      <c r="Q4148" s="366" t="s">
        <v>3816</v>
      </c>
      <c r="R4148" s="365" t="s">
        <v>3816</v>
      </c>
      <c r="S4148" s="366">
        <v>764500</v>
      </c>
    </row>
    <row r="4149" spans="1:19" ht="90" hidden="1" outlineLevel="1">
      <c r="B4149" s="384">
        <v>2026</v>
      </c>
      <c r="C4149" s="384">
        <v>12</v>
      </c>
      <c r="D4149" s="367" t="s">
        <v>5</v>
      </c>
      <c r="E4149" s="367" t="s">
        <v>6</v>
      </c>
      <c r="F4149" s="389" t="s">
        <v>6613</v>
      </c>
      <c r="G4149" s="385">
        <v>46197</v>
      </c>
      <c r="H4149" s="367" t="s">
        <v>11</v>
      </c>
      <c r="I4149" s="368" t="str">
        <f>VLOOKUP(H4149,'[4]Source Codes'!A$2:B$115,2,FALSE)</f>
        <v>AR Payments</v>
      </c>
      <c r="J4149" s="412">
        <v>2039360.43</v>
      </c>
      <c r="K4149" s="385">
        <v>46197</v>
      </c>
      <c r="L4149" s="369" t="s">
        <v>6620</v>
      </c>
      <c r="M4149" s="390">
        <v>46197.752291666664</v>
      </c>
      <c r="N4149" s="366" t="s">
        <v>359</v>
      </c>
      <c r="O4149" s="367" t="s">
        <v>357</v>
      </c>
      <c r="P4149" s="368" t="str">
        <f t="shared" si="189"/>
        <v>Revenue</v>
      </c>
      <c r="Q4149" s="366" t="s">
        <v>2157</v>
      </c>
      <c r="R4149" s="366" t="s">
        <v>2157</v>
      </c>
      <c r="S4149" s="366" t="s">
        <v>3863</v>
      </c>
    </row>
    <row r="4150" spans="1:19" ht="60" hidden="1" outlineLevel="1">
      <c r="B4150" s="384">
        <v>2026</v>
      </c>
      <c r="C4150" s="384">
        <v>12</v>
      </c>
      <c r="D4150" s="367" t="s">
        <v>5</v>
      </c>
      <c r="E4150" s="367" t="s">
        <v>6</v>
      </c>
      <c r="F4150" s="389" t="s">
        <v>6614</v>
      </c>
      <c r="G4150" s="385">
        <v>46195</v>
      </c>
      <c r="H4150" s="367" t="s">
        <v>11</v>
      </c>
      <c r="I4150" s="368" t="str">
        <f>VLOOKUP(H4150,'[4]Source Codes'!A$2:B$115,2,FALSE)</f>
        <v>AR Payments</v>
      </c>
      <c r="J4150" s="412">
        <v>6017177.0800000001</v>
      </c>
      <c r="K4150" s="385">
        <v>46197</v>
      </c>
      <c r="L4150" s="369" t="s">
        <v>6621</v>
      </c>
      <c r="M4150" s="390">
        <v>46197.752291666664</v>
      </c>
      <c r="N4150" s="366" t="s">
        <v>359</v>
      </c>
      <c r="O4150" s="367" t="s">
        <v>357</v>
      </c>
      <c r="P4150" s="368" t="str">
        <f t="shared" si="189"/>
        <v>Revenue</v>
      </c>
      <c r="Q4150" s="366" t="s">
        <v>2157</v>
      </c>
      <c r="R4150" s="366" t="s">
        <v>2157</v>
      </c>
      <c r="S4150" s="366" t="s">
        <v>2278</v>
      </c>
    </row>
    <row r="4151" spans="1:19" ht="30" hidden="1" outlineLevel="1">
      <c r="B4151" s="384">
        <v>2026</v>
      </c>
      <c r="C4151" s="384">
        <v>12</v>
      </c>
      <c r="D4151" s="367" t="s">
        <v>5</v>
      </c>
      <c r="E4151" s="367" t="s">
        <v>6</v>
      </c>
      <c r="F4151" s="389" t="s">
        <v>6615</v>
      </c>
      <c r="G4151" s="385">
        <v>46189</v>
      </c>
      <c r="H4151" s="367" t="s">
        <v>9</v>
      </c>
      <c r="I4151" s="368" t="str">
        <f>VLOOKUP(H4151,'[4]Source Codes'!A$2:B$115,2,FALSE)</f>
        <v>On Line Journal Entries</v>
      </c>
      <c r="J4151" s="412">
        <v>17891327.879999999</v>
      </c>
      <c r="K4151" s="385">
        <v>46197</v>
      </c>
      <c r="L4151" s="369" t="s">
        <v>344</v>
      </c>
      <c r="M4151" s="390">
        <v>46197.527731481481</v>
      </c>
      <c r="N4151" s="366" t="s">
        <v>356</v>
      </c>
      <c r="O4151" s="367" t="s">
        <v>364</v>
      </c>
      <c r="P4151" s="368" t="str">
        <f t="shared" si="189"/>
        <v>Revenue</v>
      </c>
      <c r="Q4151" s="366" t="s">
        <v>2232</v>
      </c>
      <c r="R4151" s="366" t="s">
        <v>3454</v>
      </c>
      <c r="S4151" s="366" t="s">
        <v>3044</v>
      </c>
    </row>
    <row r="4152" spans="1:19" ht="15" hidden="1" outlineLevel="1">
      <c r="B4152" s="384">
        <v>2026</v>
      </c>
      <c r="C4152" s="384">
        <v>12</v>
      </c>
      <c r="D4152" s="367" t="s">
        <v>5</v>
      </c>
      <c r="E4152" s="367" t="s">
        <v>6</v>
      </c>
      <c r="F4152" s="389" t="s">
        <v>6616</v>
      </c>
      <c r="G4152" s="385">
        <v>46185</v>
      </c>
      <c r="H4152" s="367" t="s">
        <v>9</v>
      </c>
      <c r="I4152" s="368" t="str">
        <f>VLOOKUP(H4152,'[4]Source Codes'!A$2:B$115,2,FALSE)</f>
        <v>On Line Journal Entries</v>
      </c>
      <c r="J4152" s="412">
        <v>8389090.1500000004</v>
      </c>
      <c r="K4152" s="385">
        <v>46197</v>
      </c>
      <c r="L4152" s="369" t="s">
        <v>6617</v>
      </c>
      <c r="M4152" s="390">
        <v>46197.869895833333</v>
      </c>
      <c r="N4152" s="366" t="s">
        <v>361</v>
      </c>
      <c r="O4152" s="367" t="s">
        <v>376</v>
      </c>
      <c r="P4152" s="368" t="str">
        <f t="shared" si="189"/>
        <v>Revenue</v>
      </c>
      <c r="Q4152" s="366" t="s">
        <v>2657</v>
      </c>
      <c r="R4152" s="366" t="s">
        <v>6622</v>
      </c>
      <c r="S4152" s="366">
        <v>755928</v>
      </c>
    </row>
    <row r="4153" spans="1:19" ht="15" collapsed="1">
      <c r="I4153" s="368"/>
      <c r="J4153" s="413">
        <f>SUM(J4146:J4152)</f>
        <v>35400410.350000001</v>
      </c>
      <c r="P4153" s="368"/>
    </row>
    <row r="4154" spans="1:19" ht="12.75" customHeight="1">
      <c r="I4154" s="368"/>
      <c r="P4154" s="368"/>
    </row>
    <row r="4155" spans="1:19" ht="12.75" customHeight="1">
      <c r="A4155" s="378" t="s">
        <v>6623</v>
      </c>
      <c r="I4155" s="368"/>
      <c r="P4155" s="368"/>
    </row>
    <row r="4156" spans="1:19" ht="45" hidden="1" outlineLevel="1">
      <c r="B4156" s="384">
        <v>2026</v>
      </c>
      <c r="C4156" s="384">
        <v>12</v>
      </c>
      <c r="D4156" s="367" t="s">
        <v>5</v>
      </c>
      <c r="E4156" s="367" t="s">
        <v>6</v>
      </c>
      <c r="F4156" s="389" t="s">
        <v>6624</v>
      </c>
      <c r="G4156" s="385">
        <v>46198</v>
      </c>
      <c r="H4156" s="367" t="s">
        <v>14</v>
      </c>
      <c r="I4156" s="368" t="str">
        <f>VLOOKUP(H4156,'[4]Source Codes'!A$2:B$115,2,FALSE)</f>
        <v>AP Warrant Issuance</v>
      </c>
      <c r="J4156" s="412">
        <v>-2999608.19</v>
      </c>
      <c r="K4156" s="385">
        <v>46198</v>
      </c>
      <c r="L4156" s="369" t="s">
        <v>6625</v>
      </c>
      <c r="M4156" s="390">
        <v>46198.75675925926</v>
      </c>
      <c r="N4156" s="366" t="s">
        <v>356</v>
      </c>
      <c r="O4156" s="367" t="s">
        <v>368</v>
      </c>
      <c r="P4156" s="368" t="str">
        <f t="shared" si="189"/>
        <v>Expense</v>
      </c>
      <c r="Q4156" s="366" t="s">
        <v>2154</v>
      </c>
      <c r="R4156" s="366" t="s">
        <v>2154</v>
      </c>
      <c r="S4156" s="366">
        <v>530280</v>
      </c>
    </row>
    <row r="4157" spans="1:19" ht="30" hidden="1" outlineLevel="1">
      <c r="B4157" s="384">
        <v>2026</v>
      </c>
      <c r="C4157" s="384">
        <v>12</v>
      </c>
      <c r="D4157" s="367" t="s">
        <v>5</v>
      </c>
      <c r="E4157" s="367" t="s">
        <v>6</v>
      </c>
      <c r="F4157" s="389" t="s">
        <v>6628</v>
      </c>
      <c r="G4157" s="385">
        <v>46196</v>
      </c>
      <c r="H4157" s="367" t="s">
        <v>12</v>
      </c>
      <c r="I4157" s="368" t="str">
        <f>VLOOKUP(H4157,'[4]Source Codes'!A$2:B$115,2,FALSE)</f>
        <v>AR Direct Cash Journal</v>
      </c>
      <c r="J4157" s="412">
        <v>4511087.5199999996</v>
      </c>
      <c r="K4157" s="385">
        <v>46198</v>
      </c>
      <c r="L4157" s="369" t="s">
        <v>6631</v>
      </c>
      <c r="M4157" s="390">
        <v>46198.752187500002</v>
      </c>
      <c r="N4157" s="366" t="s">
        <v>356</v>
      </c>
      <c r="O4157" s="367" t="s">
        <v>370</v>
      </c>
      <c r="P4157" s="368" t="str">
        <f t="shared" si="189"/>
        <v>Revenue</v>
      </c>
      <c r="Q4157" s="366" t="s">
        <v>2264</v>
      </c>
      <c r="R4157" s="366" t="s">
        <v>2264</v>
      </c>
      <c r="S4157" s="366" t="s">
        <v>5195</v>
      </c>
    </row>
    <row r="4158" spans="1:19" ht="105" hidden="1" outlineLevel="1">
      <c r="B4158" s="384">
        <v>2026</v>
      </c>
      <c r="C4158" s="384">
        <v>12</v>
      </c>
      <c r="D4158" s="367" t="s">
        <v>5</v>
      </c>
      <c r="E4158" s="367" t="s">
        <v>6</v>
      </c>
      <c r="F4158" s="389" t="s">
        <v>6629</v>
      </c>
      <c r="G4158" s="385">
        <v>46198</v>
      </c>
      <c r="H4158" s="367" t="s">
        <v>11</v>
      </c>
      <c r="I4158" s="368" t="str">
        <f>VLOOKUP(H4158,'[4]Source Codes'!A$2:B$115,2,FALSE)</f>
        <v>AR Payments</v>
      </c>
      <c r="J4158" s="412">
        <v>6890252.5199999996</v>
      </c>
      <c r="K4158" s="385">
        <v>46198</v>
      </c>
      <c r="L4158" s="369" t="s">
        <v>6633</v>
      </c>
      <c r="M4158" s="390">
        <v>46198.752187500002</v>
      </c>
      <c r="N4158" s="366" t="s">
        <v>359</v>
      </c>
      <c r="O4158" s="367" t="s">
        <v>357</v>
      </c>
      <c r="P4158" s="368" t="str">
        <f t="shared" si="189"/>
        <v>Revenue</v>
      </c>
      <c r="Q4158" s="366" t="s">
        <v>2157</v>
      </c>
      <c r="R4158" s="366" t="s">
        <v>2157</v>
      </c>
      <c r="S4158" s="366" t="s">
        <v>6634</v>
      </c>
    </row>
    <row r="4159" spans="1:19" ht="75" hidden="1" outlineLevel="1">
      <c r="B4159" s="384">
        <v>2026</v>
      </c>
      <c r="C4159" s="384">
        <v>12</v>
      </c>
      <c r="D4159" s="367" t="s">
        <v>5</v>
      </c>
      <c r="E4159" s="367" t="s">
        <v>6</v>
      </c>
      <c r="F4159" s="389" t="s">
        <v>6630</v>
      </c>
      <c r="G4159" s="385">
        <v>46191</v>
      </c>
      <c r="H4159" s="367" t="s">
        <v>12</v>
      </c>
      <c r="I4159" s="368" t="str">
        <f>VLOOKUP(H4159,'[4]Source Codes'!A$2:B$115,2,FALSE)</f>
        <v>AR Direct Cash Journal</v>
      </c>
      <c r="J4159" s="412">
        <v>8902269.7899999991</v>
      </c>
      <c r="K4159" s="385">
        <v>46198</v>
      </c>
      <c r="L4159" s="369" t="s">
        <v>6632</v>
      </c>
      <c r="M4159" s="390">
        <v>46198.752187500002</v>
      </c>
      <c r="N4159" s="366" t="s">
        <v>356</v>
      </c>
      <c r="O4159" s="367" t="s">
        <v>370</v>
      </c>
      <c r="P4159" s="368" t="str">
        <f t="shared" si="189"/>
        <v>Revenue</v>
      </c>
      <c r="Q4159" s="366" t="s">
        <v>2264</v>
      </c>
      <c r="R4159" s="366" t="s">
        <v>2264</v>
      </c>
      <c r="S4159" s="366" t="s">
        <v>203</v>
      </c>
    </row>
    <row r="4160" spans="1:19" ht="15" hidden="1" outlineLevel="1">
      <c r="B4160" s="384">
        <v>2026</v>
      </c>
      <c r="C4160" s="384">
        <v>12</v>
      </c>
      <c r="D4160" s="367" t="s">
        <v>5</v>
      </c>
      <c r="E4160" s="367" t="s">
        <v>6</v>
      </c>
      <c r="F4160" s="389" t="s">
        <v>6636</v>
      </c>
      <c r="G4160" s="385">
        <v>46198</v>
      </c>
      <c r="H4160" s="367" t="s">
        <v>110</v>
      </c>
      <c r="I4160" s="368" t="str">
        <f>VLOOKUP(H4160,'[4]Source Codes'!A$2:B$115,2,FALSE)</f>
        <v>Treasurers Interest Apportion</v>
      </c>
      <c r="J4160" s="412">
        <v>20200261.899999999</v>
      </c>
      <c r="K4160" s="385">
        <v>46198</v>
      </c>
      <c r="L4160" s="369" t="s">
        <v>6637</v>
      </c>
      <c r="M4160" s="390">
        <v>46198.459861111114</v>
      </c>
      <c r="N4160" s="366" t="s">
        <v>361</v>
      </c>
      <c r="O4160" s="367" t="s">
        <v>371</v>
      </c>
      <c r="P4160" s="368" t="str">
        <f t="shared" si="189"/>
        <v>Revenue</v>
      </c>
      <c r="Q4160" s="366" t="s">
        <v>2363</v>
      </c>
      <c r="R4160" s="366" t="s">
        <v>6123</v>
      </c>
      <c r="S4160" s="366">
        <v>740020</v>
      </c>
    </row>
    <row r="4161" spans="1:19" ht="15" hidden="1" outlineLevel="1">
      <c r="B4161" s="384">
        <v>2026</v>
      </c>
      <c r="C4161" s="384">
        <v>12</v>
      </c>
      <c r="D4161" s="367" t="s">
        <v>5</v>
      </c>
      <c r="E4161" s="367" t="s">
        <v>6</v>
      </c>
      <c r="F4161" s="389" t="s">
        <v>6638</v>
      </c>
      <c r="G4161" s="385">
        <v>46197</v>
      </c>
      <c r="H4161" s="367" t="s">
        <v>7</v>
      </c>
      <c r="I4161" s="368" t="str">
        <f>VLOOKUP(H4161,'[4]Source Codes'!A$2:B$115,2,FALSE)</f>
        <v>HRMS Interface Journals</v>
      </c>
      <c r="J4161" s="412">
        <v>-2720705.67</v>
      </c>
      <c r="K4161" s="385">
        <v>46198</v>
      </c>
      <c r="L4161" s="369" t="s">
        <v>409</v>
      </c>
      <c r="M4161" s="390">
        <v>46198.322534722225</v>
      </c>
      <c r="N4161" s="366" t="s">
        <v>378</v>
      </c>
      <c r="O4161" s="367" t="s">
        <v>379</v>
      </c>
      <c r="P4161" s="368" t="str">
        <f t="shared" si="189"/>
        <v>Expense</v>
      </c>
      <c r="Q4161" s="366" t="s">
        <v>379</v>
      </c>
      <c r="R4161" s="366" t="s">
        <v>6639</v>
      </c>
      <c r="S4161" s="366">
        <v>513120</v>
      </c>
    </row>
    <row r="4162" spans="1:19" ht="12.75" customHeight="1" collapsed="1">
      <c r="J4162" s="413">
        <f>SUM(J4156:J4161)</f>
        <v>34783557.869999997</v>
      </c>
      <c r="P4162" s="368"/>
    </row>
    <row r="4163" spans="1:19" ht="12.75" customHeight="1">
      <c r="P4163" s="368"/>
    </row>
    <row r="4164" spans="1:19" ht="12.75" customHeight="1">
      <c r="A4164" s="378" t="s">
        <v>6640</v>
      </c>
      <c r="P4164" s="368"/>
    </row>
    <row r="4165" spans="1:19" ht="30" hidden="1" outlineLevel="1">
      <c r="B4165" s="384">
        <v>2026</v>
      </c>
      <c r="C4165" s="384">
        <v>12</v>
      </c>
      <c r="D4165" s="367" t="s">
        <v>5</v>
      </c>
      <c r="E4165" s="367" t="s">
        <v>6</v>
      </c>
      <c r="F4165" s="389" t="s">
        <v>6641</v>
      </c>
      <c r="G4165" s="385">
        <v>46199</v>
      </c>
      <c r="H4165" s="367" t="s">
        <v>14</v>
      </c>
      <c r="I4165" s="368" t="str">
        <f>VLOOKUP(H4165,'[4]Source Codes'!A$2:B$115,2,FALSE)</f>
        <v>AP Warrant Issuance</v>
      </c>
      <c r="J4165" s="412">
        <v>-2001518.07</v>
      </c>
      <c r="K4165" s="385">
        <v>46199</v>
      </c>
      <c r="L4165" s="369" t="s">
        <v>6642</v>
      </c>
      <c r="M4165" s="390">
        <v>46199.757557870369</v>
      </c>
      <c r="N4165" s="366" t="s">
        <v>356</v>
      </c>
      <c r="O4165" s="367" t="s">
        <v>357</v>
      </c>
      <c r="P4165" s="368" t="str">
        <f t="shared" si="189"/>
        <v>Expense</v>
      </c>
      <c r="Q4165" s="366" t="s">
        <v>2309</v>
      </c>
      <c r="R4165" s="366" t="s">
        <v>2310</v>
      </c>
      <c r="S4165" s="366" t="s">
        <v>203</v>
      </c>
    </row>
    <row r="4166" spans="1:19" ht="12.75" customHeight="1" collapsed="1">
      <c r="J4166" s="413">
        <f>SUM(J4165)</f>
        <v>-2001518.07</v>
      </c>
      <c r="P4166" s="368"/>
    </row>
    <row r="4167" spans="1:19" ht="12.75" customHeight="1">
      <c r="P4167" s="368"/>
    </row>
    <row r="4168" spans="1:19" ht="12.75" customHeight="1">
      <c r="A4168" s="378" t="s">
        <v>6643</v>
      </c>
      <c r="P4168" s="368"/>
    </row>
    <row r="4169" spans="1:19" ht="45" hidden="1" outlineLevel="1">
      <c r="B4169" s="384">
        <v>2026</v>
      </c>
      <c r="C4169" s="384">
        <v>12</v>
      </c>
      <c r="D4169" s="367" t="s">
        <v>5</v>
      </c>
      <c r="E4169" s="367" t="s">
        <v>6</v>
      </c>
      <c r="F4169" s="389" t="s">
        <v>6644</v>
      </c>
      <c r="G4169" s="385">
        <v>46199</v>
      </c>
      <c r="H4169" s="367" t="s">
        <v>12</v>
      </c>
      <c r="I4169" s="368" t="str">
        <f>VLOOKUP(H4169,'[4]Source Codes'!A$2:B$115,2,FALSE)</f>
        <v>AR Direct Cash Journal</v>
      </c>
      <c r="J4169" s="412">
        <v>4207333.18</v>
      </c>
      <c r="K4169" s="385">
        <v>46202</v>
      </c>
      <c r="L4169" s="369" t="s">
        <v>6396</v>
      </c>
      <c r="M4169" s="390">
        <v>46202.752222222225</v>
      </c>
      <c r="N4169" s="366" t="s">
        <v>356</v>
      </c>
      <c r="O4169" s="367" t="s">
        <v>371</v>
      </c>
      <c r="P4169" s="368" t="str">
        <f t="shared" si="189"/>
        <v>Revenue</v>
      </c>
      <c r="Q4169" s="366" t="s">
        <v>4145</v>
      </c>
      <c r="R4169" s="366" t="s">
        <v>6650</v>
      </c>
      <c r="S4169" s="366" t="s">
        <v>3535</v>
      </c>
    </row>
    <row r="4170" spans="1:19" ht="30" hidden="1" outlineLevel="1">
      <c r="B4170" s="384">
        <v>2026</v>
      </c>
      <c r="C4170" s="384">
        <v>12</v>
      </c>
      <c r="D4170" s="367" t="s">
        <v>5</v>
      </c>
      <c r="E4170" s="367" t="s">
        <v>6</v>
      </c>
      <c r="F4170" s="389" t="s">
        <v>6645</v>
      </c>
      <c r="G4170" s="385">
        <v>46196</v>
      </c>
      <c r="H4170" s="367" t="s">
        <v>12</v>
      </c>
      <c r="I4170" s="368" t="str">
        <f>VLOOKUP(H4170,'[4]Source Codes'!A$2:B$115,2,FALSE)</f>
        <v>AR Direct Cash Journal</v>
      </c>
      <c r="J4170" s="412">
        <v>6001073</v>
      </c>
      <c r="K4170" s="385">
        <v>46202</v>
      </c>
      <c r="L4170" s="369" t="s">
        <v>6651</v>
      </c>
      <c r="M4170" s="390">
        <v>46202.752222222225</v>
      </c>
      <c r="N4170" s="368" t="s">
        <v>2185</v>
      </c>
      <c r="O4170" s="368" t="s">
        <v>368</v>
      </c>
      <c r="P4170" s="368" t="str">
        <f t="shared" si="189"/>
        <v>Revenue</v>
      </c>
      <c r="Q4170" s="366" t="s">
        <v>3147</v>
      </c>
      <c r="R4170" s="365" t="s">
        <v>6652</v>
      </c>
      <c r="S4170" s="366">
        <v>230100</v>
      </c>
    </row>
    <row r="4171" spans="1:19" ht="60" hidden="1" outlineLevel="1">
      <c r="B4171" s="384">
        <v>2026</v>
      </c>
      <c r="C4171" s="384">
        <v>12</v>
      </c>
      <c r="D4171" s="367" t="s">
        <v>5</v>
      </c>
      <c r="E4171" s="367" t="s">
        <v>6</v>
      </c>
      <c r="F4171" s="389" t="s">
        <v>6646</v>
      </c>
      <c r="G4171" s="385">
        <v>46198</v>
      </c>
      <c r="H4171" s="367" t="s">
        <v>9</v>
      </c>
      <c r="I4171" s="368" t="str">
        <f>VLOOKUP(H4171,'[4]Source Codes'!A$2:B$115,2,FALSE)</f>
        <v>On Line Journal Entries</v>
      </c>
      <c r="J4171" s="412">
        <v>-4000000</v>
      </c>
      <c r="K4171" s="385">
        <v>46202</v>
      </c>
      <c r="L4171" s="369" t="s">
        <v>6648</v>
      </c>
      <c r="M4171" s="390">
        <v>46202.869513888887</v>
      </c>
      <c r="N4171" s="368" t="s">
        <v>2185</v>
      </c>
      <c r="O4171" s="367" t="s">
        <v>358</v>
      </c>
      <c r="P4171" s="368" t="str">
        <f t="shared" si="189"/>
        <v>Expense</v>
      </c>
      <c r="Q4171" s="366" t="s">
        <v>6086</v>
      </c>
      <c r="R4171" s="366" t="s">
        <v>6653</v>
      </c>
      <c r="S4171" s="366">
        <v>551100</v>
      </c>
    </row>
    <row r="4172" spans="1:19" ht="30" hidden="1" outlineLevel="1">
      <c r="B4172" s="384">
        <v>2026</v>
      </c>
      <c r="C4172" s="384">
        <v>12</v>
      </c>
      <c r="D4172" s="367" t="s">
        <v>5</v>
      </c>
      <c r="E4172" s="367" t="s">
        <v>6</v>
      </c>
      <c r="F4172" s="389" t="s">
        <v>6647</v>
      </c>
      <c r="G4172" s="385">
        <v>46174</v>
      </c>
      <c r="H4172" s="367" t="s">
        <v>9</v>
      </c>
      <c r="I4172" s="368" t="str">
        <f>VLOOKUP(H4172,'[4]Source Codes'!A$2:B$115,2,FALSE)</f>
        <v>On Line Journal Entries</v>
      </c>
      <c r="J4172" s="412">
        <v>-5535427.9900000002</v>
      </c>
      <c r="K4172" s="385">
        <v>46202</v>
      </c>
      <c r="L4172" s="369" t="s">
        <v>6649</v>
      </c>
      <c r="M4172" s="390">
        <v>46202.869513888887</v>
      </c>
      <c r="N4172" s="366" t="s">
        <v>356</v>
      </c>
      <c r="O4172" s="367" t="s">
        <v>374</v>
      </c>
      <c r="P4172" s="368" t="str">
        <f t="shared" si="189"/>
        <v>Expense</v>
      </c>
      <c r="Q4172" s="366" t="s">
        <v>2202</v>
      </c>
      <c r="R4172" s="366" t="s">
        <v>6654</v>
      </c>
      <c r="S4172" s="366">
        <v>525840</v>
      </c>
    </row>
    <row r="4173" spans="1:19" ht="12.75" customHeight="1" collapsed="1">
      <c r="J4173" s="413">
        <f>SUM(J4169:J4172)</f>
        <v>672978.18999999948</v>
      </c>
      <c r="P4173" s="368"/>
    </row>
    <row r="4174" spans="1:19" ht="12.75" customHeight="1">
      <c r="P4174" s="368"/>
    </row>
    <row r="4175" spans="1:19" ht="12.75" customHeight="1">
      <c r="A4175" s="378" t="s">
        <v>6656</v>
      </c>
      <c r="P4175" s="368"/>
      <c r="Q4175" s="366"/>
    </row>
    <row r="4176" spans="1:19" ht="30" hidden="1" outlineLevel="1">
      <c r="B4176" s="384">
        <v>2026</v>
      </c>
      <c r="C4176" s="384">
        <v>12</v>
      </c>
      <c r="D4176" s="367" t="s">
        <v>5</v>
      </c>
      <c r="E4176" s="367" t="s">
        <v>6</v>
      </c>
      <c r="F4176" s="389" t="s">
        <v>6657</v>
      </c>
      <c r="G4176" s="385">
        <v>46189</v>
      </c>
      <c r="H4176" s="367" t="s">
        <v>12</v>
      </c>
      <c r="I4176" s="368" t="str">
        <f>VLOOKUP(H4176,'[4]Source Codes'!A$2:B$115,2,FALSE)</f>
        <v>AR Direct Cash Journal</v>
      </c>
      <c r="J4176" s="412">
        <v>1557487.2</v>
      </c>
      <c r="K4176" s="385">
        <v>46203</v>
      </c>
      <c r="L4176" s="369" t="s">
        <v>6676</v>
      </c>
      <c r="M4176" s="390">
        <v>46203.75267361111</v>
      </c>
      <c r="N4176" s="366" t="s">
        <v>356</v>
      </c>
      <c r="O4176" s="367" t="s">
        <v>370</v>
      </c>
      <c r="P4176" s="368" t="str">
        <f t="shared" si="189"/>
        <v>Revenue</v>
      </c>
      <c r="Q4176" s="366" t="s">
        <v>2264</v>
      </c>
      <c r="R4176" s="366" t="s">
        <v>2264</v>
      </c>
      <c r="S4176" s="366" t="s">
        <v>203</v>
      </c>
    </row>
    <row r="4177" spans="1:19" ht="75" hidden="1" outlineLevel="1">
      <c r="B4177" s="384">
        <v>2026</v>
      </c>
      <c r="C4177" s="384">
        <v>12</v>
      </c>
      <c r="D4177" s="367" t="s">
        <v>5</v>
      </c>
      <c r="E4177" s="367" t="s">
        <v>6</v>
      </c>
      <c r="F4177" s="389" t="s">
        <v>6658</v>
      </c>
      <c r="G4177" s="385">
        <v>46198</v>
      </c>
      <c r="H4177" s="367" t="s">
        <v>12</v>
      </c>
      <c r="I4177" s="368" t="str">
        <f>VLOOKUP(H4177,'[4]Source Codes'!A$2:B$115,2,FALSE)</f>
        <v>AR Direct Cash Journal</v>
      </c>
      <c r="J4177" s="412">
        <v>3159254.74</v>
      </c>
      <c r="K4177" s="385">
        <v>46203</v>
      </c>
      <c r="L4177" s="369" t="s">
        <v>6677</v>
      </c>
      <c r="M4177" s="390">
        <v>46203.75267361111</v>
      </c>
      <c r="N4177" s="366" t="s">
        <v>356</v>
      </c>
      <c r="O4177" s="367" t="s">
        <v>370</v>
      </c>
      <c r="P4177" s="368" t="str">
        <f t="shared" si="189"/>
        <v>Revenue</v>
      </c>
      <c r="Q4177" s="366" t="s">
        <v>2264</v>
      </c>
      <c r="R4177" s="366" t="s">
        <v>2264</v>
      </c>
      <c r="S4177" s="366" t="s">
        <v>203</v>
      </c>
    </row>
    <row r="4178" spans="1:19" ht="30" hidden="1" outlineLevel="1">
      <c r="B4178" s="384">
        <v>2026</v>
      </c>
      <c r="C4178" s="384">
        <v>12</v>
      </c>
      <c r="D4178" s="367" t="s">
        <v>5</v>
      </c>
      <c r="E4178" s="367" t="s">
        <v>6</v>
      </c>
      <c r="F4178" s="389" t="s">
        <v>6659</v>
      </c>
      <c r="G4178" s="385">
        <v>46198</v>
      </c>
      <c r="H4178" s="367" t="s">
        <v>9</v>
      </c>
      <c r="I4178" s="368" t="str">
        <f>VLOOKUP(H4178,'[4]Source Codes'!A$2:B$115,2,FALSE)</f>
        <v>On Line Journal Entries</v>
      </c>
      <c r="J4178" s="412">
        <v>23665893</v>
      </c>
      <c r="K4178" s="385">
        <v>46203</v>
      </c>
      <c r="L4178" s="369" t="s">
        <v>10</v>
      </c>
      <c r="M4178" s="390">
        <v>46203.869525462964</v>
      </c>
      <c r="N4178" s="366" t="s">
        <v>356</v>
      </c>
      <c r="O4178" s="367" t="s">
        <v>364</v>
      </c>
      <c r="P4178" s="368" t="str">
        <f t="shared" si="189"/>
        <v>Revenue</v>
      </c>
      <c r="Q4178" s="366" t="s">
        <v>2232</v>
      </c>
      <c r="R4178" s="366" t="s">
        <v>2232</v>
      </c>
      <c r="S4178" s="366" t="s">
        <v>3107</v>
      </c>
    </row>
    <row r="4179" spans="1:19" ht="30" hidden="1" outlineLevel="1">
      <c r="B4179" s="384">
        <v>2026</v>
      </c>
      <c r="C4179" s="384">
        <v>12</v>
      </c>
      <c r="D4179" s="367" t="s">
        <v>5</v>
      </c>
      <c r="E4179" s="367" t="s">
        <v>6</v>
      </c>
      <c r="F4179" s="389" t="s">
        <v>6660</v>
      </c>
      <c r="G4179" s="385">
        <v>46199</v>
      </c>
      <c r="H4179" s="367" t="s">
        <v>9</v>
      </c>
      <c r="I4179" s="368" t="str">
        <f>VLOOKUP(H4179,'[4]Source Codes'!A$2:B$115,2,FALSE)</f>
        <v>On Line Journal Entries</v>
      </c>
      <c r="J4179" s="412">
        <v>23476930.850000001</v>
      </c>
      <c r="K4179" s="385">
        <v>46203</v>
      </c>
      <c r="L4179" s="369" t="s">
        <v>6671</v>
      </c>
      <c r="M4179" s="390">
        <v>46203.477407407408</v>
      </c>
      <c r="N4179" s="366" t="s">
        <v>356</v>
      </c>
      <c r="O4179" s="367" t="s">
        <v>371</v>
      </c>
      <c r="P4179" s="368" t="str">
        <f t="shared" si="189"/>
        <v>Revenue</v>
      </c>
      <c r="Q4179" s="366" t="s">
        <v>2158</v>
      </c>
      <c r="R4179" s="366" t="s">
        <v>6686</v>
      </c>
      <c r="S4179" s="366">
        <v>755120</v>
      </c>
    </row>
    <row r="4180" spans="1:19" ht="30" hidden="1" outlineLevel="1">
      <c r="B4180" s="384">
        <v>2026</v>
      </c>
      <c r="C4180" s="384">
        <v>12</v>
      </c>
      <c r="D4180" s="367" t="s">
        <v>5</v>
      </c>
      <c r="E4180" s="367" t="s">
        <v>6</v>
      </c>
      <c r="F4180" s="389" t="s">
        <v>6661</v>
      </c>
      <c r="G4180" s="385">
        <v>46198</v>
      </c>
      <c r="H4180" s="367" t="s">
        <v>9</v>
      </c>
      <c r="I4180" s="368" t="str">
        <f>VLOOKUP(H4180,'[4]Source Codes'!A$2:B$115,2,FALSE)</f>
        <v>On Line Journal Entries</v>
      </c>
      <c r="J4180" s="412">
        <v>22224513</v>
      </c>
      <c r="K4180" s="385">
        <v>46203</v>
      </c>
      <c r="L4180" s="369" t="s">
        <v>344</v>
      </c>
      <c r="M4180" s="390">
        <v>46203.869525462964</v>
      </c>
      <c r="N4180" s="366" t="s">
        <v>356</v>
      </c>
      <c r="O4180" s="367" t="s">
        <v>364</v>
      </c>
      <c r="P4180" s="368" t="str">
        <f t="shared" si="189"/>
        <v>Revenue</v>
      </c>
      <c r="Q4180" s="366" t="s">
        <v>2232</v>
      </c>
      <c r="R4180" s="366" t="s">
        <v>2232</v>
      </c>
      <c r="S4180" s="366" t="s">
        <v>2533</v>
      </c>
    </row>
    <row r="4181" spans="1:19" ht="30" hidden="1" outlineLevel="1">
      <c r="B4181" s="384">
        <v>2026</v>
      </c>
      <c r="C4181" s="384">
        <v>12</v>
      </c>
      <c r="D4181" s="367" t="s">
        <v>5</v>
      </c>
      <c r="E4181" s="367" t="s">
        <v>6</v>
      </c>
      <c r="F4181" s="389" t="s">
        <v>6662</v>
      </c>
      <c r="G4181" s="385">
        <v>46197</v>
      </c>
      <c r="H4181" s="367" t="s">
        <v>9</v>
      </c>
      <c r="I4181" s="368" t="str">
        <f>VLOOKUP(H4181,'[4]Source Codes'!A$2:B$115,2,FALSE)</f>
        <v>On Line Journal Entries</v>
      </c>
      <c r="J4181" s="412">
        <v>12732450</v>
      </c>
      <c r="K4181" s="385">
        <v>46203</v>
      </c>
      <c r="L4181" s="369" t="s">
        <v>344</v>
      </c>
      <c r="M4181" s="390">
        <v>46203.869525462964</v>
      </c>
      <c r="N4181" s="366" t="s">
        <v>356</v>
      </c>
      <c r="O4181" s="367" t="s">
        <v>364</v>
      </c>
      <c r="P4181" s="368" t="str">
        <f t="shared" si="189"/>
        <v>Revenue</v>
      </c>
      <c r="Q4181" s="366" t="s">
        <v>2232</v>
      </c>
      <c r="R4181" s="366" t="s">
        <v>2232</v>
      </c>
      <c r="S4181" s="366" t="s">
        <v>2533</v>
      </c>
    </row>
    <row r="4182" spans="1:19" ht="30" hidden="1" outlineLevel="1">
      <c r="B4182" s="384">
        <v>2026</v>
      </c>
      <c r="C4182" s="384">
        <v>12</v>
      </c>
      <c r="D4182" s="367" t="s">
        <v>5</v>
      </c>
      <c r="E4182" s="367" t="s">
        <v>6</v>
      </c>
      <c r="F4182" s="389" t="s">
        <v>6663</v>
      </c>
      <c r="G4182" s="385">
        <v>46198</v>
      </c>
      <c r="H4182" s="367" t="s">
        <v>9</v>
      </c>
      <c r="I4182" s="368" t="str">
        <f>VLOOKUP(H4182,'[4]Source Codes'!A$2:B$115,2,FALSE)</f>
        <v>On Line Journal Entries</v>
      </c>
      <c r="J4182" s="412">
        <v>12631912</v>
      </c>
      <c r="K4182" s="385">
        <v>46203</v>
      </c>
      <c r="L4182" s="369" t="s">
        <v>344</v>
      </c>
      <c r="M4182" s="390">
        <v>46203.869525462964</v>
      </c>
      <c r="N4182" s="366" t="s">
        <v>356</v>
      </c>
      <c r="O4182" s="367" t="s">
        <v>364</v>
      </c>
      <c r="P4182" s="368" t="str">
        <f t="shared" si="189"/>
        <v>Revenue</v>
      </c>
      <c r="Q4182" s="366" t="s">
        <v>2232</v>
      </c>
      <c r="R4182" s="366" t="s">
        <v>2232</v>
      </c>
      <c r="S4182" s="366" t="s">
        <v>2533</v>
      </c>
    </row>
    <row r="4183" spans="1:19" ht="45" hidden="1" outlineLevel="1">
      <c r="B4183" s="384">
        <v>2026</v>
      </c>
      <c r="C4183" s="384">
        <v>12</v>
      </c>
      <c r="D4183" s="367" t="s">
        <v>5</v>
      </c>
      <c r="E4183" s="367" t="s">
        <v>6</v>
      </c>
      <c r="F4183" s="389" t="s">
        <v>6664</v>
      </c>
      <c r="G4183" s="385">
        <v>46199</v>
      </c>
      <c r="H4183" s="367" t="s">
        <v>9</v>
      </c>
      <c r="I4183" s="368" t="str">
        <f>VLOOKUP(H4183,'[4]Source Codes'!A$2:B$115,2,FALSE)</f>
        <v>On Line Journal Entries</v>
      </c>
      <c r="J4183" s="412">
        <v>11359362.93</v>
      </c>
      <c r="K4183" s="385">
        <v>46203</v>
      </c>
      <c r="L4183" s="369" t="s">
        <v>6672</v>
      </c>
      <c r="M4183" s="390">
        <v>46203.525648148148</v>
      </c>
      <c r="N4183" s="366" t="s">
        <v>356</v>
      </c>
      <c r="O4183" s="367" t="s">
        <v>371</v>
      </c>
      <c r="P4183" s="368" t="str">
        <f t="shared" si="189"/>
        <v>Revenue</v>
      </c>
      <c r="Q4183" s="366" t="s">
        <v>2427</v>
      </c>
      <c r="R4183" s="366" t="s">
        <v>6650</v>
      </c>
      <c r="S4183" s="366" t="s">
        <v>2160</v>
      </c>
    </row>
    <row r="4184" spans="1:19" ht="30" hidden="1" outlineLevel="1">
      <c r="B4184" s="384">
        <v>2026</v>
      </c>
      <c r="C4184" s="384">
        <v>12</v>
      </c>
      <c r="D4184" s="367" t="s">
        <v>5</v>
      </c>
      <c r="E4184" s="367" t="s">
        <v>6</v>
      </c>
      <c r="F4184" s="389" t="s">
        <v>6665</v>
      </c>
      <c r="G4184" s="385">
        <v>46197</v>
      </c>
      <c r="H4184" s="367" t="s">
        <v>9</v>
      </c>
      <c r="I4184" s="368" t="str">
        <f>VLOOKUP(H4184,'[4]Source Codes'!A$2:B$115,2,FALSE)</f>
        <v>On Line Journal Entries</v>
      </c>
      <c r="J4184" s="412">
        <v>8690247</v>
      </c>
      <c r="K4184" s="385">
        <v>46203</v>
      </c>
      <c r="L4184" s="369" t="s">
        <v>344</v>
      </c>
      <c r="M4184" s="390">
        <v>46203.869525462964</v>
      </c>
      <c r="N4184" s="366" t="s">
        <v>356</v>
      </c>
      <c r="O4184" s="367" t="s">
        <v>364</v>
      </c>
      <c r="P4184" s="368" t="str">
        <f t="shared" si="189"/>
        <v>Revenue</v>
      </c>
      <c r="Q4184" s="366" t="s">
        <v>2232</v>
      </c>
      <c r="R4184" s="366" t="s">
        <v>2232</v>
      </c>
      <c r="S4184" s="366" t="s">
        <v>3913</v>
      </c>
    </row>
    <row r="4185" spans="1:19" ht="30" hidden="1" outlineLevel="1">
      <c r="B4185" s="384">
        <v>2026</v>
      </c>
      <c r="C4185" s="384">
        <v>12</v>
      </c>
      <c r="D4185" s="367" t="s">
        <v>5</v>
      </c>
      <c r="E4185" s="367" t="s">
        <v>6</v>
      </c>
      <c r="F4185" s="389" t="s">
        <v>6666</v>
      </c>
      <c r="G4185" s="385">
        <v>46202</v>
      </c>
      <c r="H4185" s="367" t="s">
        <v>9</v>
      </c>
      <c r="I4185" s="368" t="str">
        <f>VLOOKUP(H4185,'[4]Source Codes'!A$2:B$115,2,FALSE)</f>
        <v>On Line Journal Entries</v>
      </c>
      <c r="J4185" s="412">
        <v>8201421</v>
      </c>
      <c r="K4185" s="385">
        <v>46203</v>
      </c>
      <c r="L4185" s="369" t="s">
        <v>344</v>
      </c>
      <c r="M4185" s="390">
        <v>46203.869525462964</v>
      </c>
      <c r="N4185" s="366" t="s">
        <v>356</v>
      </c>
      <c r="O4185" s="367" t="s">
        <v>364</v>
      </c>
      <c r="P4185" s="368" t="str">
        <f t="shared" si="189"/>
        <v>Revenue</v>
      </c>
      <c r="Q4185" s="366" t="s">
        <v>2232</v>
      </c>
      <c r="R4185" s="366" t="s">
        <v>2232</v>
      </c>
      <c r="S4185" s="366" t="s">
        <v>2533</v>
      </c>
    </row>
    <row r="4186" spans="1:19" ht="60" hidden="1" outlineLevel="1">
      <c r="B4186" s="384">
        <v>2026</v>
      </c>
      <c r="C4186" s="384">
        <v>12</v>
      </c>
      <c r="D4186" s="367" t="s">
        <v>5</v>
      </c>
      <c r="E4186" s="367" t="s">
        <v>6</v>
      </c>
      <c r="F4186" s="389" t="s">
        <v>6667</v>
      </c>
      <c r="G4186" s="385">
        <v>46199</v>
      </c>
      <c r="H4186" s="367" t="s">
        <v>9</v>
      </c>
      <c r="I4186" s="368" t="str">
        <f>VLOOKUP(H4186,'[4]Source Codes'!A$2:B$115,2,FALSE)</f>
        <v>On Line Journal Entries</v>
      </c>
      <c r="J4186" s="412">
        <v>3348859.09</v>
      </c>
      <c r="K4186" s="385">
        <v>46203</v>
      </c>
      <c r="L4186" s="369" t="s">
        <v>6673</v>
      </c>
      <c r="M4186" s="390">
        <v>46203.495196759257</v>
      </c>
      <c r="N4186" s="366" t="s">
        <v>356</v>
      </c>
      <c r="O4186" s="367" t="s">
        <v>371</v>
      </c>
      <c r="P4186" s="368" t="str">
        <f t="shared" si="189"/>
        <v>Revenue</v>
      </c>
      <c r="Q4186" s="366" t="s">
        <v>3577</v>
      </c>
      <c r="R4186" s="366" t="s">
        <v>6680</v>
      </c>
      <c r="S4186" s="366">
        <v>750900</v>
      </c>
    </row>
    <row r="4187" spans="1:19" ht="30" hidden="1" outlineLevel="1">
      <c r="B4187" s="384">
        <v>2026</v>
      </c>
      <c r="C4187" s="384">
        <v>12</v>
      </c>
      <c r="D4187" s="367" t="s">
        <v>5</v>
      </c>
      <c r="E4187" s="367" t="s">
        <v>6</v>
      </c>
      <c r="F4187" s="389" t="s">
        <v>6668</v>
      </c>
      <c r="G4187" s="385">
        <v>46188</v>
      </c>
      <c r="H4187" s="367" t="s">
        <v>9</v>
      </c>
      <c r="I4187" s="368" t="str">
        <f>VLOOKUP(H4187,'[4]Source Codes'!A$2:B$115,2,FALSE)</f>
        <v>On Line Journal Entries</v>
      </c>
      <c r="J4187" s="412">
        <v>2329048</v>
      </c>
      <c r="K4187" s="385">
        <v>46203</v>
      </c>
      <c r="L4187" s="369" t="s">
        <v>6674</v>
      </c>
      <c r="M4187" s="390">
        <v>46203.399236111109</v>
      </c>
      <c r="N4187" s="366" t="s">
        <v>361</v>
      </c>
      <c r="O4187" s="367" t="s">
        <v>380</v>
      </c>
      <c r="P4187" s="368" t="str">
        <f t="shared" si="189"/>
        <v>Revenue</v>
      </c>
      <c r="Q4187" s="366" t="s">
        <v>3075</v>
      </c>
      <c r="R4187" s="366" t="s">
        <v>6683</v>
      </c>
      <c r="S4187" s="366">
        <v>777470</v>
      </c>
    </row>
    <row r="4188" spans="1:19" ht="12.75" hidden="1" customHeight="1" outlineLevel="1">
      <c r="B4188" s="384">
        <v>2026</v>
      </c>
      <c r="C4188" s="384">
        <v>12</v>
      </c>
      <c r="D4188" s="367" t="s">
        <v>5</v>
      </c>
      <c r="E4188" s="367" t="s">
        <v>6</v>
      </c>
      <c r="F4188" s="389" t="s">
        <v>6669</v>
      </c>
      <c r="G4188" s="385">
        <v>46199</v>
      </c>
      <c r="H4188" s="367" t="s">
        <v>9</v>
      </c>
      <c r="I4188" s="368" t="str">
        <f>VLOOKUP(H4188,'[4]Source Codes'!A$2:B$115,2,FALSE)</f>
        <v>On Line Journal Entries</v>
      </c>
      <c r="J4188" s="412">
        <v>1667372.32</v>
      </c>
      <c r="K4188" s="385">
        <v>46203</v>
      </c>
      <c r="L4188" s="369" t="s">
        <v>6675</v>
      </c>
      <c r="M4188" s="390">
        <v>46203.528391203705</v>
      </c>
      <c r="N4188" s="366" t="s">
        <v>356</v>
      </c>
      <c r="O4188" s="367" t="s">
        <v>371</v>
      </c>
      <c r="P4188" s="368" t="str">
        <f t="shared" si="189"/>
        <v>Revenue</v>
      </c>
      <c r="Q4188" s="366" t="s">
        <v>2164</v>
      </c>
      <c r="R4188" s="393">
        <v>46174</v>
      </c>
      <c r="S4188" s="366">
        <v>755909</v>
      </c>
    </row>
    <row r="4189" spans="1:19" ht="12.75" hidden="1" customHeight="1" outlineLevel="1">
      <c r="B4189" s="384">
        <v>2026</v>
      </c>
      <c r="C4189" s="384">
        <v>12</v>
      </c>
      <c r="D4189" s="367" t="s">
        <v>5</v>
      </c>
      <c r="E4189" s="367" t="s">
        <v>6</v>
      </c>
      <c r="F4189" s="389" t="s">
        <v>6670</v>
      </c>
      <c r="G4189" s="385">
        <v>46197</v>
      </c>
      <c r="H4189" s="367" t="s">
        <v>7</v>
      </c>
      <c r="I4189" s="368" t="str">
        <f>VLOOKUP(H4189,'[4]Source Codes'!A$2:B$115,2,FALSE)</f>
        <v>HRMS Interface Journals</v>
      </c>
      <c r="J4189" s="412">
        <v>-14731749.99</v>
      </c>
      <c r="K4189" s="385">
        <v>46203</v>
      </c>
      <c r="L4189" s="369" t="s">
        <v>407</v>
      </c>
      <c r="M4189" s="390">
        <v>46203.327187499999</v>
      </c>
      <c r="N4189" s="366" t="s">
        <v>378</v>
      </c>
      <c r="O4189" s="367" t="s">
        <v>379</v>
      </c>
      <c r="P4189" s="368" t="str">
        <f t="shared" si="189"/>
        <v>Expense</v>
      </c>
      <c r="Q4189" s="366" t="s">
        <v>379</v>
      </c>
      <c r="R4189" s="366" t="s">
        <v>6687</v>
      </c>
      <c r="S4189" s="366" t="s">
        <v>203</v>
      </c>
    </row>
    <row r="4190" spans="1:19" ht="12.75" customHeight="1" collapsed="1">
      <c r="J4190" s="428">
        <f>SUM(J4176:J4189)</f>
        <v>120313001.14</v>
      </c>
      <c r="P4190" s="368"/>
    </row>
    <row r="4191" spans="1:19" ht="12.75" customHeight="1">
      <c r="P4191" s="368"/>
    </row>
    <row r="4192" spans="1:19" ht="12.75" customHeight="1">
      <c r="A4192" s="378" t="s">
        <v>6688</v>
      </c>
      <c r="P4192" s="368"/>
    </row>
    <row r="4193" spans="1:19" ht="15" hidden="1" outlineLevel="1">
      <c r="B4193" s="384">
        <v>2026</v>
      </c>
      <c r="C4193" s="384">
        <v>12</v>
      </c>
      <c r="D4193" s="367" t="s">
        <v>5</v>
      </c>
      <c r="E4193" s="367" t="s">
        <v>6</v>
      </c>
      <c r="F4193" s="389" t="s">
        <v>6689</v>
      </c>
      <c r="G4193" s="385">
        <v>46184</v>
      </c>
      <c r="H4193" s="367" t="s">
        <v>12</v>
      </c>
      <c r="I4193" s="368" t="str">
        <f>VLOOKUP(H4193,'[4]Source Codes'!A$2:B$115,2,FALSE)</f>
        <v>AR Direct Cash Journal</v>
      </c>
      <c r="J4193" s="412">
        <v>1403723.44</v>
      </c>
      <c r="K4193" s="385">
        <v>46204</v>
      </c>
      <c r="L4193" s="369" t="s">
        <v>6695</v>
      </c>
      <c r="M4193" s="390">
        <v>46204.752013888887</v>
      </c>
      <c r="N4193" s="368" t="s">
        <v>359</v>
      </c>
      <c r="O4193" s="368" t="s">
        <v>368</v>
      </c>
      <c r="P4193" s="368" t="str">
        <f t="shared" si="189"/>
        <v>Revenue</v>
      </c>
      <c r="Q4193" s="366" t="s">
        <v>2177</v>
      </c>
      <c r="R4193" s="365" t="s">
        <v>3123</v>
      </c>
      <c r="S4193" s="366">
        <v>230129</v>
      </c>
    </row>
    <row r="4194" spans="1:19" ht="30" hidden="1" outlineLevel="1">
      <c r="B4194" s="384">
        <v>2026</v>
      </c>
      <c r="C4194" s="384">
        <v>12</v>
      </c>
      <c r="D4194" s="367" t="s">
        <v>5</v>
      </c>
      <c r="E4194" s="367" t="s">
        <v>6</v>
      </c>
      <c r="F4194" s="389" t="s">
        <v>6690</v>
      </c>
      <c r="G4194" s="385">
        <v>46203</v>
      </c>
      <c r="H4194" s="367" t="s">
        <v>12</v>
      </c>
      <c r="I4194" s="368" t="str">
        <f>VLOOKUP(H4194,'[4]Source Codes'!A$2:B$115,2,FALSE)</f>
        <v>AR Direct Cash Journal</v>
      </c>
      <c r="J4194" s="412">
        <v>1440085.13</v>
      </c>
      <c r="K4194" s="385">
        <v>46204</v>
      </c>
      <c r="L4194" s="369" t="s">
        <v>6701</v>
      </c>
      <c r="M4194" s="390">
        <v>46204.752013888887</v>
      </c>
      <c r="N4194" s="368" t="s">
        <v>2185</v>
      </c>
      <c r="O4194" s="367" t="s">
        <v>385</v>
      </c>
      <c r="P4194" s="368" t="str">
        <f t="shared" si="189"/>
        <v>Revenue</v>
      </c>
      <c r="Q4194" s="366" t="s">
        <v>2757</v>
      </c>
      <c r="R4194" s="366" t="s">
        <v>2715</v>
      </c>
      <c r="S4194" s="366" t="s">
        <v>5226</v>
      </c>
    </row>
    <row r="4195" spans="1:19" ht="15" hidden="1" outlineLevel="1">
      <c r="B4195" s="384">
        <v>2026</v>
      </c>
      <c r="C4195" s="384">
        <v>12</v>
      </c>
      <c r="D4195" s="367" t="s">
        <v>5</v>
      </c>
      <c r="E4195" s="367" t="s">
        <v>6</v>
      </c>
      <c r="F4195" s="389" t="s">
        <v>6691</v>
      </c>
      <c r="G4195" s="385">
        <v>46202</v>
      </c>
      <c r="H4195" s="367" t="s">
        <v>12</v>
      </c>
      <c r="I4195" s="368" t="str">
        <f>VLOOKUP(H4195,'[4]Source Codes'!A$2:B$115,2,FALSE)</f>
        <v>AR Direct Cash Journal</v>
      </c>
      <c r="J4195" s="412">
        <v>4865411.2300000004</v>
      </c>
      <c r="K4195" s="385">
        <v>46204</v>
      </c>
      <c r="L4195" s="369" t="s">
        <v>6696</v>
      </c>
      <c r="M4195" s="390">
        <v>46204.752013888887</v>
      </c>
      <c r="N4195" s="368" t="s">
        <v>359</v>
      </c>
      <c r="O4195" s="368" t="s">
        <v>368</v>
      </c>
      <c r="P4195" s="368" t="str">
        <f t="shared" si="189"/>
        <v>Revenue</v>
      </c>
      <c r="Q4195" s="366" t="s">
        <v>2177</v>
      </c>
      <c r="R4195" s="365" t="s">
        <v>3123</v>
      </c>
      <c r="S4195" s="366">
        <v>230100</v>
      </c>
    </row>
    <row r="4196" spans="1:19" ht="45" hidden="1" outlineLevel="1">
      <c r="B4196" s="384">
        <v>2026</v>
      </c>
      <c r="C4196" s="384">
        <v>12</v>
      </c>
      <c r="D4196" s="367" t="s">
        <v>5</v>
      </c>
      <c r="E4196" s="367" t="s">
        <v>6</v>
      </c>
      <c r="F4196" s="389" t="s">
        <v>6692</v>
      </c>
      <c r="G4196" s="385">
        <v>46176</v>
      </c>
      <c r="H4196" s="367" t="s">
        <v>12</v>
      </c>
      <c r="I4196" s="368" t="str">
        <f>VLOOKUP(H4196,'[4]Source Codes'!A$2:B$115,2,FALSE)</f>
        <v>AR Direct Cash Journal</v>
      </c>
      <c r="J4196" s="412">
        <v>10093985.199999999</v>
      </c>
      <c r="K4196" s="385">
        <v>46204</v>
      </c>
      <c r="L4196" s="369" t="s">
        <v>6706</v>
      </c>
      <c r="M4196" s="390">
        <v>46204.752013888887</v>
      </c>
      <c r="N4196" s="368" t="s">
        <v>359</v>
      </c>
      <c r="O4196" s="367" t="s">
        <v>368</v>
      </c>
      <c r="P4196" s="368" t="str">
        <f t="shared" si="189"/>
        <v>Revenue</v>
      </c>
      <c r="Q4196" s="366" t="s">
        <v>2177</v>
      </c>
      <c r="R4196" s="365" t="s">
        <v>2214</v>
      </c>
      <c r="S4196" s="366" t="s">
        <v>5226</v>
      </c>
    </row>
    <row r="4197" spans="1:19" ht="60" hidden="1" outlineLevel="1">
      <c r="B4197" s="384">
        <v>2026</v>
      </c>
      <c r="C4197" s="384">
        <v>12</v>
      </c>
      <c r="D4197" s="367" t="s">
        <v>5</v>
      </c>
      <c r="E4197" s="367" t="s">
        <v>6</v>
      </c>
      <c r="F4197" s="389" t="s">
        <v>6693</v>
      </c>
      <c r="G4197" s="385">
        <v>46198</v>
      </c>
      <c r="H4197" s="367" t="s">
        <v>12</v>
      </c>
      <c r="I4197" s="368" t="str">
        <f>VLOOKUP(H4197,'[4]Source Codes'!A$2:B$115,2,FALSE)</f>
        <v>AR Direct Cash Journal</v>
      </c>
      <c r="J4197" s="412">
        <v>19406315.829999998</v>
      </c>
      <c r="K4197" s="385">
        <v>46204</v>
      </c>
      <c r="L4197" s="369" t="s">
        <v>6700</v>
      </c>
      <c r="M4197" s="390">
        <v>46204.752013888887</v>
      </c>
      <c r="N4197" s="368" t="s">
        <v>359</v>
      </c>
      <c r="O4197" s="367" t="s">
        <v>368</v>
      </c>
      <c r="P4197" s="368" t="str">
        <f t="shared" si="189"/>
        <v>Revenue</v>
      </c>
      <c r="Q4197" s="366" t="s">
        <v>2177</v>
      </c>
      <c r="R4197" s="365" t="s">
        <v>2214</v>
      </c>
      <c r="S4197" s="366" t="s">
        <v>6705</v>
      </c>
    </row>
    <row r="4198" spans="1:19" ht="45" hidden="1" outlineLevel="1">
      <c r="B4198" s="384">
        <v>2026</v>
      </c>
      <c r="C4198" s="384">
        <v>12</v>
      </c>
      <c r="D4198" s="367" t="s">
        <v>5</v>
      </c>
      <c r="E4198" s="367" t="s">
        <v>6</v>
      </c>
      <c r="F4198" s="389" t="s">
        <v>6694</v>
      </c>
      <c r="G4198" s="385">
        <v>46191</v>
      </c>
      <c r="H4198" s="367" t="s">
        <v>12</v>
      </c>
      <c r="I4198" s="368" t="str">
        <f>VLOOKUP(H4198,'[4]Source Codes'!A$2:B$115,2,FALSE)</f>
        <v>AR Direct Cash Journal</v>
      </c>
      <c r="J4198" s="412">
        <v>24957931.41</v>
      </c>
      <c r="K4198" s="385">
        <v>46204</v>
      </c>
      <c r="L4198" s="369" t="s">
        <v>6707</v>
      </c>
      <c r="M4198" s="390">
        <v>46204.752013888887</v>
      </c>
      <c r="N4198" s="368" t="s">
        <v>359</v>
      </c>
      <c r="O4198" s="368" t="s">
        <v>368</v>
      </c>
      <c r="P4198" s="368" t="str">
        <f t="shared" si="189"/>
        <v>Revenue</v>
      </c>
      <c r="Q4198" s="366" t="s">
        <v>2177</v>
      </c>
      <c r="R4198" s="365" t="s">
        <v>3123</v>
      </c>
      <c r="S4198" s="366" t="s">
        <v>6704</v>
      </c>
    </row>
    <row r="4199" spans="1:19" ht="12.75" customHeight="1" collapsed="1">
      <c r="J4199" s="413">
        <f>SUM(J4193:J4198)</f>
        <v>62167452.239999995</v>
      </c>
      <c r="P4199" s="368"/>
    </row>
    <row r="4200" spans="1:19" ht="12.75" customHeight="1">
      <c r="P4200" s="368"/>
    </row>
    <row r="4201" spans="1:19" ht="12.75" customHeight="1">
      <c r="A4201" s="378" t="s">
        <v>6708</v>
      </c>
      <c r="P4201" s="368"/>
    </row>
    <row r="4202" spans="1:19" ht="45" hidden="1" outlineLevel="1">
      <c r="B4202" s="384">
        <v>2026</v>
      </c>
      <c r="C4202" s="384">
        <v>12</v>
      </c>
      <c r="D4202" s="367" t="s">
        <v>5</v>
      </c>
      <c r="E4202" s="367" t="s">
        <v>6</v>
      </c>
      <c r="F4202" s="389" t="s">
        <v>6709</v>
      </c>
      <c r="G4202" s="385">
        <v>46181</v>
      </c>
      <c r="H4202" s="367" t="s">
        <v>12</v>
      </c>
      <c r="I4202" s="368" t="str">
        <f>VLOOKUP(H4202,'[4]Source Codes'!A$2:B$115,2,FALSE)</f>
        <v>AR Direct Cash Journal</v>
      </c>
      <c r="J4202" s="412">
        <v>18116216.289999999</v>
      </c>
      <c r="K4202" s="385">
        <v>46205</v>
      </c>
      <c r="L4202" s="369" t="s">
        <v>6720</v>
      </c>
      <c r="M4202" s="390">
        <v>46205.752002314817</v>
      </c>
      <c r="N4202" s="368" t="s">
        <v>359</v>
      </c>
      <c r="O4202" s="367" t="s">
        <v>368</v>
      </c>
      <c r="P4202" s="368" t="str">
        <f t="shared" si="189"/>
        <v>Revenue</v>
      </c>
      <c r="Q4202" s="366" t="s">
        <v>2177</v>
      </c>
      <c r="R4202" s="365" t="s">
        <v>2214</v>
      </c>
      <c r="S4202" s="366" t="s">
        <v>4539</v>
      </c>
    </row>
    <row r="4203" spans="1:19" ht="120" hidden="1" outlineLevel="1">
      <c r="B4203" s="384">
        <v>2027</v>
      </c>
      <c r="C4203" s="384">
        <v>1</v>
      </c>
      <c r="D4203" s="367" t="s">
        <v>5</v>
      </c>
      <c r="E4203" s="367" t="s">
        <v>6</v>
      </c>
      <c r="F4203" s="389" t="s">
        <v>6710</v>
      </c>
      <c r="G4203" s="385">
        <v>46205</v>
      </c>
      <c r="H4203" s="367" t="s">
        <v>11</v>
      </c>
      <c r="I4203" s="368" t="str">
        <f>VLOOKUP(H4203,'[4]Source Codes'!A$2:B$115,2,FALSE)</f>
        <v>AR Payments</v>
      </c>
      <c r="J4203" s="412">
        <v>3898009.65</v>
      </c>
      <c r="K4203" s="385">
        <v>46205</v>
      </c>
      <c r="L4203" s="369" t="s">
        <v>6723</v>
      </c>
      <c r="M4203" s="390">
        <v>46205.752002314817</v>
      </c>
      <c r="N4203" s="366" t="s">
        <v>359</v>
      </c>
      <c r="O4203" s="367" t="s">
        <v>357</v>
      </c>
      <c r="P4203" s="368" t="str">
        <f t="shared" si="189"/>
        <v>Revenue</v>
      </c>
      <c r="Q4203" s="366" t="s">
        <v>2157</v>
      </c>
      <c r="R4203" s="366" t="s">
        <v>2157</v>
      </c>
      <c r="S4203" s="366" t="s">
        <v>3863</v>
      </c>
    </row>
    <row r="4204" spans="1:19" ht="30" hidden="1" outlineLevel="1">
      <c r="B4204" s="384">
        <v>2026</v>
      </c>
      <c r="C4204" s="384">
        <v>12</v>
      </c>
      <c r="D4204" s="367" t="s">
        <v>5</v>
      </c>
      <c r="E4204" s="367" t="s">
        <v>6</v>
      </c>
      <c r="F4204" s="389" t="s">
        <v>6711</v>
      </c>
      <c r="G4204" s="385">
        <v>46199</v>
      </c>
      <c r="H4204" s="367" t="s">
        <v>9</v>
      </c>
      <c r="I4204" s="368" t="str">
        <f>VLOOKUP(H4204,'[4]Source Codes'!A$2:B$115,2,FALSE)</f>
        <v>On Line Journal Entries</v>
      </c>
      <c r="J4204" s="412">
        <v>7379861.1699999999</v>
      </c>
      <c r="K4204" s="385">
        <v>46205</v>
      </c>
      <c r="L4204" s="369" t="s">
        <v>344</v>
      </c>
      <c r="M4204" s="390">
        <v>46205.390625</v>
      </c>
      <c r="N4204" s="366" t="s">
        <v>356</v>
      </c>
      <c r="O4204" s="367" t="s">
        <v>364</v>
      </c>
      <c r="P4204" s="368" t="str">
        <f t="shared" si="189"/>
        <v>Revenue</v>
      </c>
      <c r="Q4204" s="366" t="s">
        <v>2232</v>
      </c>
      <c r="R4204" s="366" t="s">
        <v>2232</v>
      </c>
      <c r="S4204" s="366" t="s">
        <v>2532</v>
      </c>
    </row>
    <row r="4205" spans="1:19" ht="30" hidden="1" outlineLevel="1">
      <c r="B4205" s="384">
        <v>2026</v>
      </c>
      <c r="C4205" s="384">
        <v>12</v>
      </c>
      <c r="D4205" s="367" t="s">
        <v>5</v>
      </c>
      <c r="E4205" s="367" t="s">
        <v>6</v>
      </c>
      <c r="F4205" s="389" t="s">
        <v>6712</v>
      </c>
      <c r="G4205" s="385">
        <v>46199</v>
      </c>
      <c r="H4205" s="367" t="s">
        <v>9</v>
      </c>
      <c r="I4205" s="368" t="str">
        <f>VLOOKUP(H4205,'[4]Source Codes'!A$2:B$115,2,FALSE)</f>
        <v>On Line Journal Entries</v>
      </c>
      <c r="J4205" s="412">
        <v>2087388</v>
      </c>
      <c r="K4205" s="385">
        <v>46205</v>
      </c>
      <c r="L4205" s="369" t="s">
        <v>344</v>
      </c>
      <c r="M4205" s="390">
        <v>46205.869930555556</v>
      </c>
      <c r="N4205" s="366" t="s">
        <v>356</v>
      </c>
      <c r="O4205" s="367" t="s">
        <v>364</v>
      </c>
      <c r="P4205" s="368" t="str">
        <f t="shared" si="189"/>
        <v>Revenue</v>
      </c>
      <c r="Q4205" s="366" t="s">
        <v>2232</v>
      </c>
      <c r="R4205" s="366" t="s">
        <v>2232</v>
      </c>
      <c r="S4205" s="366" t="s">
        <v>2533</v>
      </c>
    </row>
    <row r="4206" spans="1:19" ht="30" hidden="1" outlineLevel="1">
      <c r="B4206" s="384">
        <v>2026</v>
      </c>
      <c r="C4206" s="384">
        <v>12</v>
      </c>
      <c r="D4206" s="367" t="s">
        <v>5</v>
      </c>
      <c r="E4206" s="367" t="s">
        <v>6</v>
      </c>
      <c r="F4206" s="389" t="s">
        <v>6713</v>
      </c>
      <c r="G4206" s="385">
        <v>46196</v>
      </c>
      <c r="H4206" s="367" t="s">
        <v>9</v>
      </c>
      <c r="I4206" s="368" t="str">
        <f>VLOOKUP(H4206,'[4]Source Codes'!A$2:B$115,2,FALSE)</f>
        <v>On Line Journal Entries</v>
      </c>
      <c r="J4206" s="412">
        <v>1811342.46</v>
      </c>
      <c r="K4206" s="385">
        <v>46205</v>
      </c>
      <c r="L4206" s="369" t="s">
        <v>6717</v>
      </c>
      <c r="M4206" s="390">
        <v>46205.869930555556</v>
      </c>
      <c r="N4206" s="366" t="s">
        <v>361</v>
      </c>
      <c r="O4206" s="367" t="s">
        <v>376</v>
      </c>
      <c r="P4206" s="368" t="str">
        <f t="shared" si="189"/>
        <v>Revenue</v>
      </c>
      <c r="Q4206" s="366" t="s">
        <v>5516</v>
      </c>
      <c r="R4206" s="366" t="s">
        <v>4271</v>
      </c>
      <c r="S4206" s="366">
        <v>755901</v>
      </c>
    </row>
    <row r="4207" spans="1:19" ht="12.75" hidden="1" customHeight="1" outlineLevel="1">
      <c r="B4207" s="384">
        <v>2027</v>
      </c>
      <c r="C4207" s="384">
        <v>1</v>
      </c>
      <c r="D4207" s="367" t="s">
        <v>5</v>
      </c>
      <c r="E4207" s="367" t="s">
        <v>6</v>
      </c>
      <c r="F4207" s="389" t="s">
        <v>6714</v>
      </c>
      <c r="G4207" s="385">
        <v>46204</v>
      </c>
      <c r="H4207" s="367" t="s">
        <v>13</v>
      </c>
      <c r="I4207" s="368" t="str">
        <f>VLOOKUP(H4207,'[4]Source Codes'!A$2:B$115,2,FALSE)</f>
        <v>C-IV Voucher/Payments/EBT</v>
      </c>
      <c r="J4207" s="412">
        <v>-10111400.48</v>
      </c>
      <c r="K4207" s="385">
        <v>46205</v>
      </c>
      <c r="L4207" s="369" t="s">
        <v>6718</v>
      </c>
      <c r="M4207" s="390">
        <v>46205.869942129626</v>
      </c>
      <c r="N4207" s="366" t="s">
        <v>356</v>
      </c>
      <c r="O4207" s="367" t="s">
        <v>364</v>
      </c>
      <c r="P4207" s="368" t="str">
        <f t="shared" si="189"/>
        <v>Expense</v>
      </c>
      <c r="Q4207" s="366" t="s">
        <v>2204</v>
      </c>
      <c r="R4207" s="393">
        <v>46204</v>
      </c>
      <c r="S4207" s="366">
        <v>530482</v>
      </c>
    </row>
    <row r="4208" spans="1:19" ht="30" hidden="1" outlineLevel="1">
      <c r="B4208" s="384">
        <v>2027</v>
      </c>
      <c r="C4208" s="384">
        <v>1</v>
      </c>
      <c r="D4208" s="367" t="s">
        <v>5</v>
      </c>
      <c r="E4208" s="367" t="s">
        <v>6</v>
      </c>
      <c r="F4208" s="389" t="s">
        <v>6715</v>
      </c>
      <c r="G4208" s="385">
        <v>46205</v>
      </c>
      <c r="H4208" s="367" t="s">
        <v>9</v>
      </c>
      <c r="I4208" s="368" t="str">
        <f>VLOOKUP(H4208,'[4]Source Codes'!A$2:B$115,2,FALSE)</f>
        <v>On Line Journal Entries</v>
      </c>
      <c r="J4208" s="412">
        <v>-68208821.060000002</v>
      </c>
      <c r="K4208" s="385">
        <v>46205</v>
      </c>
      <c r="L4208" s="369" t="s">
        <v>6719</v>
      </c>
      <c r="M4208" s="390">
        <v>46205.869930555556</v>
      </c>
      <c r="N4208" s="368" t="s">
        <v>387</v>
      </c>
      <c r="O4208" s="367" t="s">
        <v>371</v>
      </c>
      <c r="P4208" s="368" t="str">
        <f t="shared" si="189"/>
        <v>Expense</v>
      </c>
      <c r="Q4208" s="366" t="s">
        <v>2176</v>
      </c>
      <c r="R4208" s="365" t="s">
        <v>2176</v>
      </c>
      <c r="S4208" s="366">
        <v>132600</v>
      </c>
    </row>
    <row r="4209" spans="1:19" ht="12.75" hidden="1" customHeight="1" outlineLevel="1">
      <c r="B4209" s="384">
        <v>2026</v>
      </c>
      <c r="C4209" s="384">
        <v>12</v>
      </c>
      <c r="D4209" s="367" t="s">
        <v>5</v>
      </c>
      <c r="E4209" s="367" t="s">
        <v>6</v>
      </c>
      <c r="F4209" s="389" t="s">
        <v>6716</v>
      </c>
      <c r="G4209" s="385">
        <v>46197</v>
      </c>
      <c r="H4209" s="367" t="s">
        <v>7</v>
      </c>
      <c r="I4209" s="368" t="str">
        <f>VLOOKUP(H4209,'[4]Source Codes'!A$2:B$115,2,FALSE)</f>
        <v>HRMS Interface Journals</v>
      </c>
      <c r="J4209" s="412">
        <v>-77432468.079999998</v>
      </c>
      <c r="K4209" s="385">
        <v>46205</v>
      </c>
      <c r="L4209" s="369" t="s">
        <v>406</v>
      </c>
      <c r="M4209" s="390">
        <v>46205.437534722223</v>
      </c>
      <c r="N4209" s="366" t="s">
        <v>3624</v>
      </c>
      <c r="O4209" s="367" t="s">
        <v>371</v>
      </c>
      <c r="P4209" s="368" t="str">
        <f t="shared" si="189"/>
        <v>Expense</v>
      </c>
      <c r="Q4209" s="366" t="s">
        <v>379</v>
      </c>
      <c r="R4209" s="366" t="s">
        <v>6699</v>
      </c>
      <c r="S4209" s="366" t="s">
        <v>203</v>
      </c>
    </row>
    <row r="4210" spans="1:19" ht="12.75" customHeight="1" collapsed="1">
      <c r="J4210" s="413">
        <f>SUM(J4202:J4209)</f>
        <v>-122459872.05</v>
      </c>
      <c r="P4210" s="368"/>
    </row>
    <row r="4211" spans="1:19" ht="12.75" customHeight="1">
      <c r="P4211" s="368"/>
    </row>
    <row r="4212" spans="1:19" ht="12.75" customHeight="1">
      <c r="A4212" s="378" t="s">
        <v>6724</v>
      </c>
      <c r="P4212" s="368"/>
    </row>
    <row r="4213" spans="1:19" ht="12.75" hidden="1" customHeight="1" outlineLevel="1">
      <c r="B4213" s="384">
        <v>2027</v>
      </c>
      <c r="C4213" s="384">
        <v>1</v>
      </c>
      <c r="D4213" s="367" t="s">
        <v>5</v>
      </c>
      <c r="E4213" s="367" t="s">
        <v>6</v>
      </c>
      <c r="F4213" s="389" t="s">
        <v>6725</v>
      </c>
      <c r="G4213" s="385">
        <v>46204</v>
      </c>
      <c r="H4213" s="367" t="s">
        <v>13</v>
      </c>
      <c r="I4213" s="368" t="str">
        <f>VLOOKUP(H4213,'[4]Source Codes'!A$2:B$115,2,FALSE)</f>
        <v>C-IV Voucher/Payments/EBT</v>
      </c>
      <c r="J4213" s="412">
        <v>-12139392.15</v>
      </c>
      <c r="K4213" s="385">
        <v>46209</v>
      </c>
      <c r="L4213" s="369" t="s">
        <v>6727</v>
      </c>
      <c r="M4213" s="390">
        <v>46209.87059027778</v>
      </c>
      <c r="N4213" s="366" t="s">
        <v>356</v>
      </c>
      <c r="O4213" s="367" t="s">
        <v>364</v>
      </c>
      <c r="P4213" s="368" t="str">
        <f t="shared" ref="P4213:P4233" si="190">IF(J4213&gt;0,"Revenue",IF(J4213&lt;0,"Expense"))</f>
        <v>Expense</v>
      </c>
      <c r="Q4213" s="366" t="s">
        <v>2204</v>
      </c>
      <c r="R4213" s="393">
        <v>46174</v>
      </c>
      <c r="S4213" s="366">
        <v>530480</v>
      </c>
    </row>
    <row r="4214" spans="1:19" ht="12.75" hidden="1" customHeight="1" outlineLevel="1">
      <c r="B4214" s="384">
        <v>2027</v>
      </c>
      <c r="C4214" s="384">
        <v>1</v>
      </c>
      <c r="D4214" s="367" t="s">
        <v>5</v>
      </c>
      <c r="E4214" s="367" t="s">
        <v>6</v>
      </c>
      <c r="F4214" s="389" t="s">
        <v>6726</v>
      </c>
      <c r="G4214" s="385">
        <v>46204</v>
      </c>
      <c r="H4214" s="367" t="s">
        <v>13</v>
      </c>
      <c r="I4214" s="368" t="str">
        <f>VLOOKUP(H4214,'[4]Source Codes'!A$2:B$115,2,FALSE)</f>
        <v>C-IV Voucher/Payments/EBT</v>
      </c>
      <c r="J4214" s="412">
        <v>-15095412.91</v>
      </c>
      <c r="K4214" s="385">
        <v>46209</v>
      </c>
      <c r="L4214" s="369" t="s">
        <v>6728</v>
      </c>
      <c r="M4214" s="390">
        <v>46209.87059027778</v>
      </c>
      <c r="N4214" s="366" t="s">
        <v>356</v>
      </c>
      <c r="O4214" s="367" t="s">
        <v>364</v>
      </c>
      <c r="P4214" s="368" t="str">
        <f t="shared" si="190"/>
        <v>Expense</v>
      </c>
      <c r="Q4214" s="366" t="s">
        <v>2204</v>
      </c>
      <c r="R4214" s="393">
        <v>46174</v>
      </c>
      <c r="S4214" s="366">
        <v>530480</v>
      </c>
    </row>
    <row r="4215" spans="1:19" ht="12.75" customHeight="1" collapsed="1">
      <c r="J4215" s="413">
        <f>SUM(J4213:J4214)</f>
        <v>-27234805.060000002</v>
      </c>
      <c r="P4215" s="368"/>
    </row>
    <row r="4216" spans="1:19" ht="12.75" customHeight="1">
      <c r="P4216" s="368"/>
    </row>
    <row r="4217" spans="1:19" ht="12.75" customHeight="1">
      <c r="A4217" s="378" t="s">
        <v>6729</v>
      </c>
      <c r="P4217" s="368"/>
    </row>
    <row r="4218" spans="1:19" ht="12.75" hidden="1" customHeight="1" outlineLevel="1">
      <c r="B4218" s="384">
        <v>2027</v>
      </c>
      <c r="C4218" s="384">
        <v>1</v>
      </c>
      <c r="D4218" s="367" t="s">
        <v>5</v>
      </c>
      <c r="E4218" s="367" t="s">
        <v>6</v>
      </c>
      <c r="F4218" s="389" t="s">
        <v>6730</v>
      </c>
      <c r="G4218" s="385">
        <v>46204</v>
      </c>
      <c r="H4218" s="367" t="s">
        <v>12</v>
      </c>
      <c r="I4218" s="368" t="str">
        <f>VLOOKUP(H4218,'[4]Source Codes'!A$2:B$115,2,FALSE)</f>
        <v>AR Direct Cash Journal</v>
      </c>
      <c r="J4218" s="412">
        <v>179262221.78</v>
      </c>
      <c r="K4218" s="385">
        <v>46210</v>
      </c>
      <c r="L4218" s="369" t="s">
        <v>6732</v>
      </c>
      <c r="M4218" s="390">
        <v>46210.751932870371</v>
      </c>
      <c r="N4218" s="366" t="s">
        <v>377</v>
      </c>
      <c r="O4218" s="367" t="s">
        <v>358</v>
      </c>
      <c r="P4218" s="368" t="str">
        <f t="shared" si="190"/>
        <v>Revenue</v>
      </c>
      <c r="Q4218" s="366" t="s">
        <v>2512</v>
      </c>
      <c r="R4218" s="366" t="s">
        <v>6731</v>
      </c>
      <c r="S4218" s="366">
        <v>101500</v>
      </c>
    </row>
    <row r="4219" spans="1:19" ht="12.75" customHeight="1" collapsed="1">
      <c r="J4219" s="413">
        <f>SUM(J4218)</f>
        <v>179262221.78</v>
      </c>
      <c r="P4219" s="368"/>
    </row>
    <row r="4220" spans="1:19" ht="12.75" customHeight="1">
      <c r="P4220" s="368"/>
    </row>
    <row r="4221" spans="1:19" ht="12.75" customHeight="1">
      <c r="A4221" s="378" t="s">
        <v>6733</v>
      </c>
      <c r="P4221" s="368"/>
    </row>
    <row r="4222" spans="1:19" ht="45" hidden="1" outlineLevel="1">
      <c r="B4222" s="384">
        <v>2027</v>
      </c>
      <c r="C4222" s="384">
        <v>1</v>
      </c>
      <c r="D4222" s="367" t="s">
        <v>5</v>
      </c>
      <c r="E4222" s="367" t="s">
        <v>6</v>
      </c>
      <c r="F4222" s="389" t="s">
        <v>6734</v>
      </c>
      <c r="G4222" s="385">
        <v>46211</v>
      </c>
      <c r="H4222" s="367" t="s">
        <v>11</v>
      </c>
      <c r="I4222" s="368" t="str">
        <f>VLOOKUP(H4222,'[4]Source Codes'!A$2:B$115,2,FALSE)</f>
        <v>AR Payments</v>
      </c>
      <c r="J4222" s="412">
        <v>1424784.84</v>
      </c>
      <c r="K4222" s="385">
        <v>46211</v>
      </c>
      <c r="L4222" s="369" t="s">
        <v>6738</v>
      </c>
      <c r="M4222" s="390">
        <v>46211.751875000002</v>
      </c>
      <c r="N4222" s="366" t="s">
        <v>359</v>
      </c>
      <c r="O4222" s="367" t="s">
        <v>357</v>
      </c>
      <c r="P4222" s="368" t="str">
        <f t="shared" si="190"/>
        <v>Revenue</v>
      </c>
      <c r="Q4222" s="366" t="s">
        <v>2157</v>
      </c>
      <c r="R4222" s="366" t="s">
        <v>2157</v>
      </c>
      <c r="S4222" s="366" t="s">
        <v>4188</v>
      </c>
    </row>
    <row r="4223" spans="1:19" ht="30" hidden="1" outlineLevel="1">
      <c r="B4223" s="384">
        <v>2026</v>
      </c>
      <c r="C4223" s="384">
        <v>12</v>
      </c>
      <c r="D4223" s="367" t="s">
        <v>5</v>
      </c>
      <c r="E4223" s="367" t="s">
        <v>6</v>
      </c>
      <c r="F4223" s="389" t="s">
        <v>6735</v>
      </c>
      <c r="G4223" s="385">
        <v>46203</v>
      </c>
      <c r="H4223" s="367" t="s">
        <v>9</v>
      </c>
      <c r="I4223" s="368" t="str">
        <f>VLOOKUP(H4223,'[4]Source Codes'!A$2:B$115,2,FALSE)</f>
        <v>On Line Journal Entries</v>
      </c>
      <c r="J4223" s="412">
        <v>2688106.25</v>
      </c>
      <c r="K4223" s="385">
        <v>46211</v>
      </c>
      <c r="L4223" s="369" t="s">
        <v>6737</v>
      </c>
      <c r="M4223" s="390">
        <v>46211.869814814818</v>
      </c>
      <c r="N4223" s="366" t="s">
        <v>361</v>
      </c>
      <c r="O4223" s="367" t="s">
        <v>510</v>
      </c>
      <c r="P4223" s="368" t="str">
        <f t="shared" si="190"/>
        <v>Revenue</v>
      </c>
      <c r="Q4223" s="366" t="s">
        <v>2122</v>
      </c>
      <c r="R4223" s="366" t="s">
        <v>6739</v>
      </c>
      <c r="S4223" s="366">
        <v>781100</v>
      </c>
    </row>
    <row r="4224" spans="1:19" ht="12.75" hidden="1" customHeight="1" outlineLevel="1">
      <c r="B4224" s="384">
        <v>2027</v>
      </c>
      <c r="C4224" s="384">
        <v>1</v>
      </c>
      <c r="D4224" s="367" t="s">
        <v>5</v>
      </c>
      <c r="E4224" s="367" t="s">
        <v>6</v>
      </c>
      <c r="F4224" s="389" t="s">
        <v>6736</v>
      </c>
      <c r="G4224" s="385">
        <v>46211</v>
      </c>
      <c r="H4224" s="367" t="s">
        <v>7</v>
      </c>
      <c r="I4224" s="368" t="str">
        <f>VLOOKUP(H4224,'[4]Source Codes'!A$2:B$115,2,FALSE)</f>
        <v>HRMS Interface Journals</v>
      </c>
      <c r="J4224" s="412">
        <v>-14609646.85</v>
      </c>
      <c r="K4224" s="385">
        <v>46211</v>
      </c>
      <c r="L4224" s="369" t="s">
        <v>407</v>
      </c>
      <c r="M4224" s="390">
        <v>46211.407696759263</v>
      </c>
      <c r="N4224" s="366" t="s">
        <v>378</v>
      </c>
      <c r="O4224" s="367" t="s">
        <v>379</v>
      </c>
      <c r="P4224" s="368" t="str">
        <f t="shared" si="190"/>
        <v>Expense</v>
      </c>
      <c r="Q4224" s="366" t="s">
        <v>379</v>
      </c>
      <c r="R4224" s="366" t="s">
        <v>6740</v>
      </c>
      <c r="S4224" s="366" t="s">
        <v>203</v>
      </c>
    </row>
    <row r="4225" spans="1:19" ht="12.75" customHeight="1" collapsed="1">
      <c r="I4225" s="368"/>
      <c r="J4225" s="413">
        <f>SUM(J4222:J4224)</f>
        <v>-10496755.76</v>
      </c>
      <c r="P4225" s="368"/>
    </row>
    <row r="4226" spans="1:19" ht="12.75" customHeight="1">
      <c r="I4226" s="368"/>
      <c r="P4226" s="368"/>
    </row>
    <row r="4227" spans="1:19" ht="12.75" customHeight="1">
      <c r="A4227" s="378" t="s">
        <v>6767</v>
      </c>
      <c r="I4227" s="368"/>
      <c r="P4227" s="368"/>
    </row>
    <row r="4228" spans="1:19" ht="150" hidden="1" outlineLevel="1">
      <c r="B4228" s="384">
        <v>2027</v>
      </c>
      <c r="C4228" s="384">
        <v>1</v>
      </c>
      <c r="D4228" s="367" t="s">
        <v>5</v>
      </c>
      <c r="E4228" s="367" t="s">
        <v>6</v>
      </c>
      <c r="F4228" s="389" t="s">
        <v>6741</v>
      </c>
      <c r="G4228" s="385">
        <v>46211</v>
      </c>
      <c r="H4228" s="367" t="s">
        <v>11</v>
      </c>
      <c r="I4228" s="368" t="str">
        <f>VLOOKUP(H4228,'[4]Source Codes'!A$2:B$115,2,FALSE)</f>
        <v>AR Payments</v>
      </c>
      <c r="J4228" s="412">
        <v>9936615.6300000008</v>
      </c>
      <c r="K4228" s="385">
        <v>46212</v>
      </c>
      <c r="L4228" s="369" t="s">
        <v>6760</v>
      </c>
      <c r="M4228" s="390">
        <v>46212.752013888887</v>
      </c>
      <c r="N4228" s="366" t="s">
        <v>359</v>
      </c>
      <c r="O4228" s="367" t="s">
        <v>357</v>
      </c>
      <c r="P4228" s="368" t="str">
        <f t="shared" si="190"/>
        <v>Revenue</v>
      </c>
      <c r="Q4228" s="366" t="s">
        <v>2157</v>
      </c>
      <c r="R4228" s="366" t="s">
        <v>2157</v>
      </c>
      <c r="S4228" s="366" t="s">
        <v>2911</v>
      </c>
    </row>
    <row r="4229" spans="1:19" ht="30" hidden="1" outlineLevel="1">
      <c r="B4229" s="384">
        <v>2026</v>
      </c>
      <c r="C4229" s="384">
        <v>12</v>
      </c>
      <c r="D4229" s="367" t="s">
        <v>5</v>
      </c>
      <c r="E4229" s="367" t="s">
        <v>6</v>
      </c>
      <c r="F4229" s="389" t="s">
        <v>6742</v>
      </c>
      <c r="G4229" s="385">
        <v>46203</v>
      </c>
      <c r="H4229" s="367" t="s">
        <v>9</v>
      </c>
      <c r="I4229" s="368" t="str">
        <f>VLOOKUP(H4229,'[4]Source Codes'!A$2:B$115,2,FALSE)</f>
        <v>On Line Journal Entries</v>
      </c>
      <c r="J4229" s="412">
        <v>-1344145.27</v>
      </c>
      <c r="K4229" s="385">
        <v>46212</v>
      </c>
      <c r="L4229" s="369" t="s">
        <v>6747</v>
      </c>
      <c r="M4229" s="390">
        <v>46212.871122685188</v>
      </c>
      <c r="N4229" s="366" t="s">
        <v>2185</v>
      </c>
      <c r="O4229" s="367" t="s">
        <v>1180</v>
      </c>
      <c r="P4229" s="368" t="str">
        <f t="shared" si="190"/>
        <v>Expense</v>
      </c>
      <c r="Q4229" s="366" t="s">
        <v>6750</v>
      </c>
      <c r="R4229" s="366" t="s">
        <v>6749</v>
      </c>
      <c r="S4229" s="366">
        <v>118403</v>
      </c>
    </row>
    <row r="4230" spans="1:19" ht="30" hidden="1" outlineLevel="1">
      <c r="B4230" s="384">
        <v>2026</v>
      </c>
      <c r="C4230" s="384">
        <v>12</v>
      </c>
      <c r="D4230" s="367" t="s">
        <v>5</v>
      </c>
      <c r="E4230" s="367" t="s">
        <v>6</v>
      </c>
      <c r="F4230" s="389" t="s">
        <v>6743</v>
      </c>
      <c r="G4230" s="385">
        <v>46203</v>
      </c>
      <c r="H4230" s="367" t="s">
        <v>9</v>
      </c>
      <c r="I4230" s="368" t="str">
        <f>VLOOKUP(H4230,'[4]Source Codes'!A$2:B$115,2,FALSE)</f>
        <v>On Line Journal Entries</v>
      </c>
      <c r="J4230" s="412">
        <v>-1491677.79</v>
      </c>
      <c r="K4230" s="385">
        <v>46212</v>
      </c>
      <c r="L4230" s="369" t="s">
        <v>6747</v>
      </c>
      <c r="M4230" s="390">
        <v>46212.871122685188</v>
      </c>
      <c r="N4230" s="366" t="s">
        <v>2185</v>
      </c>
      <c r="O4230" s="367" t="s">
        <v>368</v>
      </c>
      <c r="P4230" s="368" t="str">
        <f t="shared" si="190"/>
        <v>Expense</v>
      </c>
      <c r="Q4230" s="366" t="s">
        <v>6750</v>
      </c>
      <c r="R4230" s="366" t="s">
        <v>6749</v>
      </c>
      <c r="S4230" s="366">
        <v>118403</v>
      </c>
    </row>
    <row r="4231" spans="1:19" ht="15" hidden="1" outlineLevel="1">
      <c r="B4231" s="384">
        <v>2026</v>
      </c>
      <c r="C4231" s="384">
        <v>12</v>
      </c>
      <c r="D4231" s="367" t="s">
        <v>5</v>
      </c>
      <c r="E4231" s="367" t="s">
        <v>6</v>
      </c>
      <c r="F4231" s="389" t="s">
        <v>6744</v>
      </c>
      <c r="G4231" s="385">
        <v>46197</v>
      </c>
      <c r="H4231" s="367" t="s">
        <v>9</v>
      </c>
      <c r="I4231" s="368" t="str">
        <f>VLOOKUP(H4231,'[4]Source Codes'!A$2:B$115,2,FALSE)</f>
        <v>On Line Journal Entries</v>
      </c>
      <c r="J4231" s="412">
        <v>-2191283.56</v>
      </c>
      <c r="K4231" s="385">
        <v>46212</v>
      </c>
      <c r="L4231" s="369" t="s">
        <v>6748</v>
      </c>
      <c r="M4231" s="390">
        <v>46212.871122685188</v>
      </c>
      <c r="N4231" s="366" t="s">
        <v>2185</v>
      </c>
      <c r="O4231" s="367" t="s">
        <v>379</v>
      </c>
      <c r="P4231" s="368" t="str">
        <f t="shared" si="190"/>
        <v>Expense</v>
      </c>
      <c r="Q4231" s="366" t="s">
        <v>6751</v>
      </c>
      <c r="R4231" s="366" t="s">
        <v>6755</v>
      </c>
      <c r="S4231" s="366" t="s">
        <v>203</v>
      </c>
    </row>
    <row r="4232" spans="1:19" ht="15" hidden="1" outlineLevel="1">
      <c r="B4232" s="384">
        <v>2027</v>
      </c>
      <c r="C4232" s="384">
        <v>1</v>
      </c>
      <c r="D4232" s="367" t="s">
        <v>5</v>
      </c>
      <c r="E4232" s="367" t="s">
        <v>6</v>
      </c>
      <c r="F4232" s="389" t="s">
        <v>6745</v>
      </c>
      <c r="G4232" s="385">
        <v>46211</v>
      </c>
      <c r="H4232" s="367" t="s">
        <v>7</v>
      </c>
      <c r="I4232" s="368" t="str">
        <f>VLOOKUP(H4232,'[4]Source Codes'!A$2:B$115,2,FALSE)</f>
        <v>HRMS Interface Journals</v>
      </c>
      <c r="J4232" s="412">
        <v>-2723627.88</v>
      </c>
      <c r="K4232" s="385">
        <v>46212</v>
      </c>
      <c r="L4232" s="369" t="s">
        <v>409</v>
      </c>
      <c r="M4232" s="390">
        <v>46212.343391203707</v>
      </c>
      <c r="N4232" s="366" t="s">
        <v>378</v>
      </c>
      <c r="O4232" s="367" t="s">
        <v>379</v>
      </c>
      <c r="P4232" s="368" t="str">
        <f t="shared" si="190"/>
        <v>Expense</v>
      </c>
      <c r="Q4232" s="426" t="s">
        <v>379</v>
      </c>
      <c r="R4232" s="366" t="s">
        <v>6754</v>
      </c>
      <c r="S4232" s="366">
        <v>202100</v>
      </c>
    </row>
    <row r="4233" spans="1:19" ht="15" hidden="1" outlineLevel="1">
      <c r="B4233" s="384">
        <v>2027</v>
      </c>
      <c r="C4233" s="384">
        <v>1</v>
      </c>
      <c r="D4233" s="367" t="s">
        <v>5</v>
      </c>
      <c r="E4233" s="367" t="s">
        <v>6</v>
      </c>
      <c r="F4233" s="389" t="s">
        <v>6746</v>
      </c>
      <c r="G4233" s="385">
        <v>46211</v>
      </c>
      <c r="H4233" s="367" t="s">
        <v>7</v>
      </c>
      <c r="I4233" s="368" t="str">
        <f>VLOOKUP(H4233,'[4]Source Codes'!A$2:B$115,2,FALSE)</f>
        <v>HRMS Interface Journals</v>
      </c>
      <c r="J4233" s="412">
        <v>-78516816.359999999</v>
      </c>
      <c r="K4233" s="385">
        <v>46212</v>
      </c>
      <c r="L4233" s="369" t="s">
        <v>406</v>
      </c>
      <c r="M4233" s="390">
        <v>46212.340277777781</v>
      </c>
      <c r="N4233" s="366" t="s">
        <v>378</v>
      </c>
      <c r="O4233" s="367" t="s">
        <v>379</v>
      </c>
      <c r="P4233" s="368" t="str">
        <f t="shared" si="190"/>
        <v>Expense</v>
      </c>
      <c r="Q4233" s="426" t="s">
        <v>379</v>
      </c>
      <c r="R4233" s="366" t="s">
        <v>6754</v>
      </c>
      <c r="S4233" s="366" t="s">
        <v>6756</v>
      </c>
    </row>
    <row r="4234" spans="1:19" ht="12.75" customHeight="1" collapsed="1">
      <c r="J4234" s="413">
        <f>SUM(J4228:J4233)</f>
        <v>-76330935.230000004</v>
      </c>
    </row>
    <row r="4236" spans="1:19" ht="12.75" customHeight="1">
      <c r="A4236" s="378" t="s">
        <v>6793</v>
      </c>
    </row>
    <row r="4237" spans="1:19" ht="30" hidden="1" outlineLevel="1">
      <c r="B4237" s="384">
        <v>2027</v>
      </c>
      <c r="C4237" s="384">
        <v>1</v>
      </c>
      <c r="D4237" s="367" t="s">
        <v>5</v>
      </c>
      <c r="E4237" s="367" t="s">
        <v>6</v>
      </c>
      <c r="F4237" s="389" t="s">
        <v>6761</v>
      </c>
      <c r="G4237" s="385">
        <v>46217</v>
      </c>
      <c r="H4237" s="367" t="s">
        <v>14</v>
      </c>
      <c r="I4237" s="368" t="str">
        <f>VLOOKUP(H4237,'[4]Source Codes'!A$2:B$115,2,FALSE)</f>
        <v>AP Warrant Issuance</v>
      </c>
      <c r="J4237" s="412">
        <v>-3192697.77</v>
      </c>
      <c r="K4237" s="385">
        <v>46213</v>
      </c>
      <c r="L4237" s="369" t="s">
        <v>6831</v>
      </c>
      <c r="M4237" s="390">
        <v>46213.7575462963</v>
      </c>
      <c r="N4237" s="366" t="s">
        <v>356</v>
      </c>
      <c r="O4237" s="367" t="s">
        <v>368</v>
      </c>
      <c r="P4237" s="368" t="s">
        <v>2613</v>
      </c>
      <c r="Q4237" s="366" t="s">
        <v>2154</v>
      </c>
      <c r="R4237" s="366" t="s">
        <v>2154</v>
      </c>
      <c r="S4237" s="366" t="s">
        <v>203</v>
      </c>
    </row>
    <row r="4238" spans="1:19" ht="30" hidden="1" outlineLevel="1">
      <c r="B4238" s="384">
        <v>2027</v>
      </c>
      <c r="C4238" s="384">
        <v>1</v>
      </c>
      <c r="D4238" s="367" t="s">
        <v>5</v>
      </c>
      <c r="E4238" s="367" t="s">
        <v>6</v>
      </c>
      <c r="F4238" s="389" t="s">
        <v>6762</v>
      </c>
      <c r="G4238" s="385">
        <v>46213</v>
      </c>
      <c r="H4238" s="367" t="s">
        <v>14</v>
      </c>
      <c r="I4238" s="368" t="str">
        <f>VLOOKUP(H4238,'[4]Source Codes'!A$2:B$115,2,FALSE)</f>
        <v>AP Warrant Issuance</v>
      </c>
      <c r="J4238" s="412">
        <v>-1262431.0900000001</v>
      </c>
      <c r="K4238" s="385">
        <v>46213</v>
      </c>
      <c r="L4238" s="369" t="s">
        <v>6764</v>
      </c>
      <c r="M4238" s="390">
        <v>46213.7575462963</v>
      </c>
      <c r="N4238" s="366" t="s">
        <v>356</v>
      </c>
      <c r="O4238" s="367" t="s">
        <v>357</v>
      </c>
      <c r="P4238" s="368" t="s">
        <v>2613</v>
      </c>
      <c r="Q4238" s="366" t="s">
        <v>2309</v>
      </c>
      <c r="R4238" s="366" t="s">
        <v>2310</v>
      </c>
      <c r="S4238" s="366" t="s">
        <v>203</v>
      </c>
    </row>
    <row r="4239" spans="1:19" ht="30" hidden="1" outlineLevel="1">
      <c r="B4239" s="384">
        <v>2027</v>
      </c>
      <c r="C4239" s="384">
        <v>1</v>
      </c>
      <c r="D4239" s="367" t="s">
        <v>5</v>
      </c>
      <c r="E4239" s="367" t="s">
        <v>6</v>
      </c>
      <c r="F4239" s="389" t="s">
        <v>6763</v>
      </c>
      <c r="G4239" s="385">
        <v>46211</v>
      </c>
      <c r="H4239" s="367" t="s">
        <v>11</v>
      </c>
      <c r="I4239" s="368" t="str">
        <f>VLOOKUP(H4239,'[4]Source Codes'!A$2:B$115,2,FALSE)</f>
        <v>AR Payments</v>
      </c>
      <c r="J4239" s="412">
        <v>1226263.47</v>
      </c>
      <c r="K4239" s="385">
        <v>46213</v>
      </c>
      <c r="L4239" s="369" t="s">
        <v>6765</v>
      </c>
      <c r="M4239" s="390">
        <v>46213.751736111109</v>
      </c>
      <c r="N4239" s="366" t="s">
        <v>2185</v>
      </c>
      <c r="O4239" s="367" t="s">
        <v>5367</v>
      </c>
      <c r="P4239" s="368" t="s">
        <v>2290</v>
      </c>
      <c r="Q4239" s="366" t="s">
        <v>5368</v>
      </c>
      <c r="R4239" s="366" t="s">
        <v>5368</v>
      </c>
      <c r="S4239" s="366">
        <v>118501</v>
      </c>
    </row>
    <row r="4240" spans="1:19" ht="12.75" customHeight="1" collapsed="1">
      <c r="B4240" s="384"/>
      <c r="C4240" s="384"/>
      <c r="D4240" s="367"/>
      <c r="E4240" s="367"/>
      <c r="F4240" s="389"/>
      <c r="G4240" s="385"/>
      <c r="H4240" s="367"/>
      <c r="I4240" s="368"/>
      <c r="J4240" s="415">
        <f>SUM(J4237:J4239)</f>
        <v>-3228865.3900000006</v>
      </c>
      <c r="K4240" s="385"/>
      <c r="L4240" s="369"/>
      <c r="M4240" s="390"/>
      <c r="N4240" s="366"/>
      <c r="O4240" s="367"/>
      <c r="P4240" s="368"/>
      <c r="Q4240" s="426"/>
      <c r="R4240" s="366"/>
      <c r="S4240" s="366"/>
    </row>
    <row r="4242" spans="1:19" ht="12.75" customHeight="1">
      <c r="A4242" s="378" t="s">
        <v>6794</v>
      </c>
    </row>
    <row r="4243" spans="1:19" ht="30" hidden="1" outlineLevel="1">
      <c r="B4243" s="384">
        <v>2027</v>
      </c>
      <c r="C4243" s="384">
        <v>1</v>
      </c>
      <c r="D4243" s="367" t="s">
        <v>5</v>
      </c>
      <c r="E4243" s="367" t="s">
        <v>6</v>
      </c>
      <c r="F4243" s="389" t="s">
        <v>6768</v>
      </c>
      <c r="G4243" s="385">
        <v>46218</v>
      </c>
      <c r="H4243" s="367" t="s">
        <v>14</v>
      </c>
      <c r="I4243" s="368" t="str">
        <f>VLOOKUP(H4243,'[4]Source Codes'!A$2:B$115,2,FALSE)</f>
        <v>AP Warrant Issuance</v>
      </c>
      <c r="J4243" s="412">
        <v>-3618000.29</v>
      </c>
      <c r="K4243" s="385">
        <v>46216</v>
      </c>
      <c r="L4243" s="369" t="s">
        <v>6830</v>
      </c>
      <c r="M4243" s="390">
        <v>46216.758611111109</v>
      </c>
      <c r="N4243" s="366" t="s">
        <v>356</v>
      </c>
      <c r="O4243" s="367" t="s">
        <v>368</v>
      </c>
      <c r="P4243" s="368" t="s">
        <v>2613</v>
      </c>
      <c r="Q4243" s="366" t="s">
        <v>2154</v>
      </c>
      <c r="R4243" s="366" t="s">
        <v>2154</v>
      </c>
      <c r="S4243" s="366" t="s">
        <v>203</v>
      </c>
    </row>
    <row r="4244" spans="1:19" ht="60" hidden="1" outlineLevel="1">
      <c r="B4244" s="384">
        <v>2027</v>
      </c>
      <c r="C4244" s="384">
        <v>1</v>
      </c>
      <c r="D4244" s="367" t="s">
        <v>5</v>
      </c>
      <c r="E4244" s="367" t="s">
        <v>6</v>
      </c>
      <c r="F4244" s="389" t="s">
        <v>6769</v>
      </c>
      <c r="G4244" s="385">
        <v>46213</v>
      </c>
      <c r="H4244" s="367" t="s">
        <v>11</v>
      </c>
      <c r="I4244" s="368" t="str">
        <f>VLOOKUP(H4244,'[4]Source Codes'!A$2:B$115,2,FALSE)</f>
        <v>AR Payments</v>
      </c>
      <c r="J4244" s="412">
        <v>1577036.8</v>
      </c>
      <c r="K4244" s="385">
        <v>46216</v>
      </c>
      <c r="L4244" s="369" t="s">
        <v>6785</v>
      </c>
      <c r="M4244" s="390">
        <v>46216.751944444448</v>
      </c>
      <c r="N4244" s="366" t="s">
        <v>359</v>
      </c>
      <c r="O4244" s="367" t="s">
        <v>357</v>
      </c>
      <c r="P4244" s="368" t="s">
        <v>2290</v>
      </c>
      <c r="Q4244" s="366" t="s">
        <v>2157</v>
      </c>
      <c r="R4244" s="366" t="s">
        <v>2157</v>
      </c>
      <c r="S4244" s="366" t="s">
        <v>2531</v>
      </c>
    </row>
    <row r="4245" spans="1:19" ht="90" hidden="1" outlineLevel="1">
      <c r="B4245" s="384">
        <v>2027</v>
      </c>
      <c r="C4245" s="384">
        <v>1</v>
      </c>
      <c r="D4245" s="367" t="s">
        <v>5</v>
      </c>
      <c r="E4245" s="367" t="s">
        <v>6</v>
      </c>
      <c r="F4245" s="389" t="s">
        <v>6770</v>
      </c>
      <c r="G4245" s="385">
        <v>46216</v>
      </c>
      <c r="H4245" s="367" t="s">
        <v>11</v>
      </c>
      <c r="I4245" s="368" t="str">
        <f>VLOOKUP(H4245,'[4]Source Codes'!A$2:B$115,2,FALSE)</f>
        <v>AR Payments</v>
      </c>
      <c r="J4245" s="412">
        <v>4094490.95</v>
      </c>
      <c r="K4245" s="385">
        <v>46216</v>
      </c>
      <c r="L4245" s="369" t="s">
        <v>6779</v>
      </c>
      <c r="M4245" s="390">
        <v>46216.751944444448</v>
      </c>
      <c r="N4245" s="366" t="s">
        <v>359</v>
      </c>
      <c r="O4245" s="367" t="s">
        <v>357</v>
      </c>
      <c r="P4245" s="368" t="s">
        <v>2290</v>
      </c>
      <c r="Q4245" s="366" t="s">
        <v>2157</v>
      </c>
      <c r="R4245" s="366" t="s">
        <v>2157</v>
      </c>
      <c r="S4245" s="366" t="s">
        <v>2231</v>
      </c>
    </row>
    <row r="4246" spans="1:19" ht="45" hidden="1" outlineLevel="1">
      <c r="B4246" s="384">
        <v>2026</v>
      </c>
      <c r="C4246" s="384">
        <v>12</v>
      </c>
      <c r="D4246" s="367" t="s">
        <v>5</v>
      </c>
      <c r="E4246" s="367" t="s">
        <v>6</v>
      </c>
      <c r="F4246" s="389" t="s">
        <v>6771</v>
      </c>
      <c r="G4246" s="385">
        <v>46203</v>
      </c>
      <c r="H4246" s="367" t="s">
        <v>9</v>
      </c>
      <c r="I4246" s="368" t="str">
        <f>VLOOKUP(H4246,'[4]Source Codes'!A$2:B$115,2,FALSE)</f>
        <v>On Line Journal Entries</v>
      </c>
      <c r="J4246" s="412">
        <v>5982831</v>
      </c>
      <c r="K4246" s="385">
        <v>46216</v>
      </c>
      <c r="L4246" s="369" t="s">
        <v>352</v>
      </c>
      <c r="M4246" s="390">
        <v>46216.870092592595</v>
      </c>
      <c r="N4246" s="366" t="s">
        <v>359</v>
      </c>
      <c r="O4246" s="367" t="s">
        <v>364</v>
      </c>
      <c r="P4246" s="368" t="s">
        <v>2290</v>
      </c>
      <c r="Q4246" s="366" t="s">
        <v>2232</v>
      </c>
      <c r="R4246" s="366" t="s">
        <v>2232</v>
      </c>
      <c r="S4246" s="366" t="s">
        <v>2789</v>
      </c>
    </row>
    <row r="4247" spans="1:19" ht="45" hidden="1" outlineLevel="1">
      <c r="B4247" s="384">
        <v>2026</v>
      </c>
      <c r="C4247" s="384">
        <v>12</v>
      </c>
      <c r="D4247" s="367" t="s">
        <v>5</v>
      </c>
      <c r="E4247" s="367" t="s">
        <v>6</v>
      </c>
      <c r="F4247" s="389" t="s">
        <v>6772</v>
      </c>
      <c r="G4247" s="385">
        <v>46203</v>
      </c>
      <c r="H4247" s="367" t="s">
        <v>9</v>
      </c>
      <c r="I4247" s="368" t="str">
        <f>VLOOKUP(H4247,'[4]Source Codes'!A$2:B$115,2,FALSE)</f>
        <v>On Line Journal Entries</v>
      </c>
      <c r="J4247" s="412">
        <v>5978265</v>
      </c>
      <c r="K4247" s="385">
        <v>46216</v>
      </c>
      <c r="L4247" s="369" t="s">
        <v>352</v>
      </c>
      <c r="M4247" s="390">
        <v>46216.870092592595</v>
      </c>
      <c r="N4247" s="366" t="s">
        <v>359</v>
      </c>
      <c r="O4247" s="367" t="s">
        <v>364</v>
      </c>
      <c r="P4247" s="368" t="s">
        <v>2290</v>
      </c>
      <c r="Q4247" s="366" t="s">
        <v>2232</v>
      </c>
      <c r="R4247" s="366" t="s">
        <v>2232</v>
      </c>
      <c r="S4247" s="366" t="s">
        <v>2789</v>
      </c>
    </row>
    <row r="4248" spans="1:19" ht="30" hidden="1" outlineLevel="1">
      <c r="B4248" s="384">
        <v>2026</v>
      </c>
      <c r="C4248" s="384">
        <v>12</v>
      </c>
      <c r="D4248" s="367" t="s">
        <v>5</v>
      </c>
      <c r="E4248" s="367" t="s">
        <v>6</v>
      </c>
      <c r="F4248" s="389" t="s">
        <v>6773</v>
      </c>
      <c r="G4248" s="385">
        <v>46203</v>
      </c>
      <c r="H4248" s="367" t="s">
        <v>9</v>
      </c>
      <c r="I4248" s="368" t="str">
        <f>VLOOKUP(H4248,'[4]Source Codes'!A$2:B$115,2,FALSE)</f>
        <v>On Line Journal Entries</v>
      </c>
      <c r="J4248" s="412">
        <v>4962452</v>
      </c>
      <c r="K4248" s="385">
        <v>46216</v>
      </c>
      <c r="L4248" s="369" t="s">
        <v>334</v>
      </c>
      <c r="M4248" s="390">
        <v>46216.870092592595</v>
      </c>
      <c r="N4248" s="366" t="s">
        <v>356</v>
      </c>
      <c r="O4248" s="367" t="s">
        <v>364</v>
      </c>
      <c r="P4248" s="368" t="s">
        <v>2290</v>
      </c>
      <c r="Q4248" s="366" t="s">
        <v>2232</v>
      </c>
      <c r="R4248" s="366" t="s">
        <v>2232</v>
      </c>
      <c r="S4248" s="366">
        <v>750741</v>
      </c>
    </row>
    <row r="4249" spans="1:19" ht="30" hidden="1" outlineLevel="1">
      <c r="B4249" s="384">
        <v>2026</v>
      </c>
      <c r="C4249" s="384">
        <v>12</v>
      </c>
      <c r="D4249" s="367" t="s">
        <v>5</v>
      </c>
      <c r="E4249" s="367" t="s">
        <v>6</v>
      </c>
      <c r="F4249" s="389" t="s">
        <v>6774</v>
      </c>
      <c r="G4249" s="385">
        <v>46203</v>
      </c>
      <c r="H4249" s="367" t="s">
        <v>9</v>
      </c>
      <c r="I4249" s="368" t="str">
        <f>VLOOKUP(H4249,'[4]Source Codes'!A$2:B$115,2,FALSE)</f>
        <v>On Line Journal Entries</v>
      </c>
      <c r="J4249" s="412">
        <v>4959331</v>
      </c>
      <c r="K4249" s="385">
        <v>46216</v>
      </c>
      <c r="L4249" s="369" t="s">
        <v>334</v>
      </c>
      <c r="M4249" s="390">
        <v>46216.870092592595</v>
      </c>
      <c r="N4249" s="366" t="s">
        <v>356</v>
      </c>
      <c r="O4249" s="367" t="s">
        <v>364</v>
      </c>
      <c r="P4249" s="368" t="s">
        <v>2290</v>
      </c>
      <c r="Q4249" s="366" t="s">
        <v>2232</v>
      </c>
      <c r="R4249" s="366" t="s">
        <v>2232</v>
      </c>
      <c r="S4249" s="366">
        <v>750741</v>
      </c>
    </row>
    <row r="4250" spans="1:19" ht="60" hidden="1" outlineLevel="1">
      <c r="B4250" s="384">
        <v>2026</v>
      </c>
      <c r="C4250" s="384">
        <v>12</v>
      </c>
      <c r="D4250" s="367" t="s">
        <v>5</v>
      </c>
      <c r="E4250" s="367" t="s">
        <v>6</v>
      </c>
      <c r="F4250" s="389" t="s">
        <v>6775</v>
      </c>
      <c r="G4250" s="385">
        <v>46203</v>
      </c>
      <c r="H4250" s="367" t="s">
        <v>9</v>
      </c>
      <c r="I4250" s="368" t="str">
        <f>VLOOKUP(H4250,'[4]Source Codes'!A$2:B$115,2,FALSE)</f>
        <v>On Line Journal Entries</v>
      </c>
      <c r="J4250" s="412">
        <v>4334425.5199999996</v>
      </c>
      <c r="K4250" s="385">
        <v>46216</v>
      </c>
      <c r="L4250" s="369" t="s">
        <v>347</v>
      </c>
      <c r="M4250" s="390">
        <v>46216.870092592595</v>
      </c>
      <c r="N4250" s="366" t="s">
        <v>359</v>
      </c>
      <c r="O4250" s="367" t="s">
        <v>364</v>
      </c>
      <c r="P4250" s="368" t="s">
        <v>2290</v>
      </c>
      <c r="Q4250" s="366" t="s">
        <v>2232</v>
      </c>
      <c r="R4250" s="366" t="s">
        <v>2232</v>
      </c>
      <c r="S4250" s="366">
        <v>755924</v>
      </c>
    </row>
    <row r="4251" spans="1:19" ht="60" hidden="1" outlineLevel="1">
      <c r="B4251" s="384">
        <v>2026</v>
      </c>
      <c r="C4251" s="384">
        <v>12</v>
      </c>
      <c r="D4251" s="367" t="s">
        <v>5</v>
      </c>
      <c r="E4251" s="367" t="s">
        <v>6</v>
      </c>
      <c r="F4251" s="389" t="s">
        <v>6776</v>
      </c>
      <c r="G4251" s="385">
        <v>46203</v>
      </c>
      <c r="H4251" s="367" t="s">
        <v>9</v>
      </c>
      <c r="I4251" s="368" t="str">
        <f>VLOOKUP(H4251,'[4]Source Codes'!A$2:B$115,2,FALSE)</f>
        <v>On Line Journal Entries</v>
      </c>
      <c r="J4251" s="412">
        <v>3501960</v>
      </c>
      <c r="K4251" s="385">
        <v>46216</v>
      </c>
      <c r="L4251" s="369" t="s">
        <v>347</v>
      </c>
      <c r="M4251" s="390">
        <v>46216.870092592595</v>
      </c>
      <c r="N4251" s="366" t="s">
        <v>359</v>
      </c>
      <c r="O4251" s="367" t="s">
        <v>364</v>
      </c>
      <c r="P4251" s="368" t="s">
        <v>2290</v>
      </c>
      <c r="Q4251" s="366" t="s">
        <v>2232</v>
      </c>
      <c r="R4251" s="366" t="s">
        <v>2232</v>
      </c>
      <c r="S4251" s="366">
        <v>755924</v>
      </c>
    </row>
    <row r="4252" spans="1:19" ht="45" hidden="1" outlineLevel="1">
      <c r="B4252" s="384">
        <v>2026</v>
      </c>
      <c r="C4252" s="384">
        <v>12</v>
      </c>
      <c r="D4252" s="367" t="s">
        <v>5</v>
      </c>
      <c r="E4252" s="367" t="s">
        <v>6</v>
      </c>
      <c r="F4252" s="389" t="s">
        <v>6777</v>
      </c>
      <c r="G4252" s="385">
        <v>46203</v>
      </c>
      <c r="H4252" s="367" t="s">
        <v>9</v>
      </c>
      <c r="I4252" s="368" t="str">
        <f>VLOOKUP(H4252,'[4]Source Codes'!A$2:B$115,2,FALSE)</f>
        <v>On Line Journal Entries</v>
      </c>
      <c r="J4252" s="412">
        <v>1676222</v>
      </c>
      <c r="K4252" s="385">
        <v>46216</v>
      </c>
      <c r="L4252" s="369" t="s">
        <v>6778</v>
      </c>
      <c r="M4252" s="390">
        <v>46216.870092592595</v>
      </c>
      <c r="N4252" s="368" t="s">
        <v>6336</v>
      </c>
      <c r="O4252" s="368" t="s">
        <v>358</v>
      </c>
      <c r="P4252" s="368" t="str">
        <f>IF(J4252&gt;0,"Revenue",IF(J4252&lt;0,"Expense"))</f>
        <v>Revenue</v>
      </c>
      <c r="Q4252" s="366" t="s">
        <v>6782</v>
      </c>
      <c r="R4252" s="365" t="s">
        <v>6333</v>
      </c>
      <c r="S4252" s="366">
        <v>790600</v>
      </c>
    </row>
    <row r="4253" spans="1:19" ht="12.75" customHeight="1" collapsed="1">
      <c r="J4253" s="413">
        <f>SUM(J4243:J4252)</f>
        <v>33449013.98</v>
      </c>
    </row>
    <row r="4255" spans="1:19" ht="12.75" customHeight="1">
      <c r="A4255" s="378" t="s">
        <v>6795</v>
      </c>
    </row>
    <row r="4256" spans="1:19" ht="30" hidden="1" outlineLevel="1">
      <c r="B4256" s="384">
        <v>2027</v>
      </c>
      <c r="C4256" s="384">
        <v>1</v>
      </c>
      <c r="D4256" s="367" t="s">
        <v>5</v>
      </c>
      <c r="E4256" s="367" t="s">
        <v>6</v>
      </c>
      <c r="F4256" s="389" t="s">
        <v>6786</v>
      </c>
      <c r="G4256" s="385">
        <v>46217</v>
      </c>
      <c r="H4256" s="367" t="s">
        <v>14</v>
      </c>
      <c r="I4256" s="368" t="str">
        <f>VLOOKUP(H4256,'[4]Source Codes'!A$2:B$115,2,FALSE)</f>
        <v>AP Warrant Issuance</v>
      </c>
      <c r="J4256" s="412">
        <v>-1511674.24</v>
      </c>
      <c r="K4256" s="385">
        <v>46217</v>
      </c>
      <c r="L4256" s="369" t="s">
        <v>6790</v>
      </c>
      <c r="M4256" s="390">
        <v>46217.757962962962</v>
      </c>
      <c r="N4256" s="366" t="s">
        <v>356</v>
      </c>
      <c r="O4256" s="367" t="s">
        <v>357</v>
      </c>
      <c r="P4256" s="368" t="s">
        <v>2613</v>
      </c>
      <c r="Q4256" s="366" t="s">
        <v>2309</v>
      </c>
      <c r="R4256" s="366" t="s">
        <v>2310</v>
      </c>
      <c r="S4256" s="366" t="s">
        <v>203</v>
      </c>
    </row>
    <row r="4257" spans="1:19" ht="45" hidden="1" outlineLevel="1">
      <c r="B4257" s="384">
        <v>2027</v>
      </c>
      <c r="C4257" s="384">
        <v>1</v>
      </c>
      <c r="D4257" s="367" t="s">
        <v>5</v>
      </c>
      <c r="E4257" s="367" t="s">
        <v>6</v>
      </c>
      <c r="F4257" s="389" t="s">
        <v>6787</v>
      </c>
      <c r="G4257" s="385">
        <v>46209</v>
      </c>
      <c r="H4257" s="367" t="s">
        <v>11</v>
      </c>
      <c r="I4257" s="368" t="str">
        <f>VLOOKUP(H4257,'[4]Source Codes'!A$2:B$115,2,FALSE)</f>
        <v>AR Payments</v>
      </c>
      <c r="J4257" s="412">
        <v>5209290.5599999996</v>
      </c>
      <c r="K4257" s="385">
        <v>46217</v>
      </c>
      <c r="L4257" s="369" t="s">
        <v>6796</v>
      </c>
      <c r="M4257" s="390">
        <v>46217.75203703704</v>
      </c>
      <c r="N4257" s="366" t="s">
        <v>359</v>
      </c>
      <c r="O4257" s="367" t="s">
        <v>362</v>
      </c>
      <c r="P4257" s="368" t="s">
        <v>2290</v>
      </c>
      <c r="Q4257" s="366" t="s">
        <v>3049</v>
      </c>
      <c r="R4257" s="366" t="s">
        <v>3049</v>
      </c>
      <c r="S4257" s="366" t="s">
        <v>5174</v>
      </c>
    </row>
    <row r="4258" spans="1:19" ht="75" hidden="1" outlineLevel="1">
      <c r="B4258" s="384">
        <v>2026</v>
      </c>
      <c r="C4258" s="384">
        <v>12</v>
      </c>
      <c r="D4258" s="367" t="s">
        <v>5</v>
      </c>
      <c r="E4258" s="367" t="s">
        <v>6</v>
      </c>
      <c r="F4258" s="389" t="s">
        <v>6788</v>
      </c>
      <c r="G4258" s="385">
        <v>46203</v>
      </c>
      <c r="H4258" s="367" t="s">
        <v>9</v>
      </c>
      <c r="I4258" s="368" t="str">
        <f>VLOOKUP(H4258,'[4]Source Codes'!A$2:B$115,2,FALSE)</f>
        <v>On Line Journal Entries</v>
      </c>
      <c r="J4258" s="412">
        <v>-1436824.09</v>
      </c>
      <c r="K4258" s="385">
        <v>46217</v>
      </c>
      <c r="L4258" s="369" t="s">
        <v>6789</v>
      </c>
      <c r="M4258" s="390">
        <v>46217.871018518519</v>
      </c>
      <c r="N4258" s="368" t="s">
        <v>6336</v>
      </c>
      <c r="O4258" s="367" t="s">
        <v>358</v>
      </c>
      <c r="P4258" s="368" t="s">
        <v>2613</v>
      </c>
      <c r="Q4258" s="366" t="s">
        <v>5139</v>
      </c>
      <c r="R4258" s="366" t="s">
        <v>6797</v>
      </c>
      <c r="S4258" s="366">
        <v>551100</v>
      </c>
    </row>
    <row r="4259" spans="1:19" ht="12.75" customHeight="1" collapsed="1">
      <c r="J4259" s="413">
        <f>SUM(J4256:J4258)</f>
        <v>2260792.2299999995</v>
      </c>
    </row>
    <row r="4261" spans="1:19" ht="12.75" customHeight="1">
      <c r="A4261" s="378" t="s">
        <v>6798</v>
      </c>
      <c r="I4261" s="368"/>
    </row>
    <row r="4262" spans="1:19" ht="30" hidden="1" outlineLevel="1">
      <c r="B4262" s="384">
        <v>2027</v>
      </c>
      <c r="C4262" s="384">
        <v>1</v>
      </c>
      <c r="D4262" s="367" t="s">
        <v>5</v>
      </c>
      <c r="E4262" s="367" t="s">
        <v>6</v>
      </c>
      <c r="F4262" s="389" t="s">
        <v>6799</v>
      </c>
      <c r="G4262" s="385">
        <v>46220</v>
      </c>
      <c r="H4262" s="367" t="s">
        <v>14</v>
      </c>
      <c r="I4262" s="368" t="str">
        <f>VLOOKUP(H4262,'[4]Source Codes'!A$2:B$115,2,FALSE)</f>
        <v>AP Warrant Issuance</v>
      </c>
      <c r="J4262" s="412">
        <v>-3071404.26</v>
      </c>
      <c r="K4262" s="385">
        <v>46218</v>
      </c>
      <c r="L4262" s="369" t="s">
        <v>6828</v>
      </c>
      <c r="M4262" s="390">
        <v>46218.7580787037</v>
      </c>
      <c r="N4262" s="366" t="s">
        <v>356</v>
      </c>
      <c r="O4262" s="367" t="s">
        <v>368</v>
      </c>
      <c r="P4262" s="368" t="str">
        <f t="shared" ref="P4262:P4268" si="191">IF(J4262&gt;0,"Revenue",IF(J4262&lt;0,"Expense"))</f>
        <v>Expense</v>
      </c>
      <c r="Q4262" s="366" t="s">
        <v>2154</v>
      </c>
      <c r="R4262" s="366" t="s">
        <v>2154</v>
      </c>
      <c r="S4262" s="366" t="s">
        <v>203</v>
      </c>
    </row>
    <row r="4263" spans="1:19" ht="30" hidden="1" outlineLevel="1">
      <c r="B4263" s="384">
        <v>2027</v>
      </c>
      <c r="C4263" s="384">
        <v>1</v>
      </c>
      <c r="D4263" s="367" t="s">
        <v>5</v>
      </c>
      <c r="E4263" s="367" t="s">
        <v>6</v>
      </c>
      <c r="F4263" s="389" t="s">
        <v>6800</v>
      </c>
      <c r="G4263" s="385">
        <v>46218</v>
      </c>
      <c r="H4263" s="367" t="s">
        <v>14</v>
      </c>
      <c r="I4263" s="368" t="str">
        <f>VLOOKUP(H4263,'[4]Source Codes'!A$2:B$115,2,FALSE)</f>
        <v>AP Warrant Issuance</v>
      </c>
      <c r="J4263" s="412">
        <v>-1605504.92</v>
      </c>
      <c r="K4263" s="385">
        <v>46218</v>
      </c>
      <c r="L4263" s="369" t="s">
        <v>6829</v>
      </c>
      <c r="M4263" s="390">
        <v>46218.7580787037</v>
      </c>
      <c r="N4263" s="366" t="s">
        <v>356</v>
      </c>
      <c r="O4263" s="367" t="s">
        <v>368</v>
      </c>
      <c r="P4263" s="368" t="str">
        <f t="shared" si="191"/>
        <v>Expense</v>
      </c>
      <c r="Q4263" s="366" t="s">
        <v>2154</v>
      </c>
      <c r="R4263" s="366" t="s">
        <v>2154</v>
      </c>
      <c r="S4263" s="366" t="s">
        <v>203</v>
      </c>
    </row>
    <row r="4264" spans="1:19" ht="32.25" hidden="1" customHeight="1" outlineLevel="1">
      <c r="B4264" s="384">
        <v>2027</v>
      </c>
      <c r="C4264" s="384">
        <v>1</v>
      </c>
      <c r="D4264" s="367" t="s">
        <v>5</v>
      </c>
      <c r="E4264" s="367" t="s">
        <v>6</v>
      </c>
      <c r="F4264" s="389" t="s">
        <v>6801</v>
      </c>
      <c r="G4264" s="385">
        <v>46218</v>
      </c>
      <c r="H4264" s="367" t="s">
        <v>14</v>
      </c>
      <c r="I4264" s="368" t="str">
        <f>VLOOKUP(H4264,'[4]Source Codes'!A$2:B$115,2,FALSE)</f>
        <v>AP Warrant Issuance</v>
      </c>
      <c r="J4264" s="412">
        <v>-1286338.6399999999</v>
      </c>
      <c r="K4264" s="385">
        <v>46218</v>
      </c>
      <c r="L4264" s="369" t="s">
        <v>6808</v>
      </c>
      <c r="M4264" s="390">
        <v>46218.7580787037</v>
      </c>
      <c r="N4264" s="366" t="s">
        <v>356</v>
      </c>
      <c r="O4264" s="367" t="s">
        <v>357</v>
      </c>
      <c r="P4264" s="368" t="str">
        <f t="shared" si="191"/>
        <v>Expense</v>
      </c>
      <c r="Q4264" s="366" t="s">
        <v>2309</v>
      </c>
      <c r="R4264" s="366" t="s">
        <v>2310</v>
      </c>
      <c r="S4264" s="366" t="s">
        <v>203</v>
      </c>
    </row>
    <row r="4265" spans="1:19" ht="30" hidden="1" outlineLevel="1">
      <c r="B4265" s="384">
        <v>2027</v>
      </c>
      <c r="C4265" s="384">
        <v>1</v>
      </c>
      <c r="D4265" s="367" t="s">
        <v>5</v>
      </c>
      <c r="E4265" s="367" t="s">
        <v>6</v>
      </c>
      <c r="F4265" s="389" t="s">
        <v>6802</v>
      </c>
      <c r="G4265" s="385">
        <v>46205</v>
      </c>
      <c r="H4265" s="367" t="s">
        <v>12</v>
      </c>
      <c r="I4265" s="368" t="str">
        <f>VLOOKUP(H4265,'[4]Source Codes'!A$2:B$115,2,FALSE)</f>
        <v>AR Direct Cash Journal</v>
      </c>
      <c r="J4265" s="412">
        <v>2008453.81</v>
      </c>
      <c r="K4265" s="385">
        <v>46218</v>
      </c>
      <c r="L4265" s="369" t="s">
        <v>6809</v>
      </c>
      <c r="M4265" s="390">
        <v>46218.751909722225</v>
      </c>
      <c r="N4265" s="366" t="s">
        <v>356</v>
      </c>
      <c r="O4265" s="367" t="s">
        <v>370</v>
      </c>
      <c r="P4265" s="368" t="str">
        <f t="shared" si="191"/>
        <v>Revenue</v>
      </c>
      <c r="Q4265" s="366" t="s">
        <v>2264</v>
      </c>
      <c r="R4265" s="366" t="s">
        <v>2264</v>
      </c>
      <c r="S4265" s="366">
        <v>779140</v>
      </c>
    </row>
    <row r="4266" spans="1:19" ht="75" hidden="1" outlineLevel="1">
      <c r="B4266" s="384">
        <v>2027</v>
      </c>
      <c r="C4266" s="384">
        <v>1</v>
      </c>
      <c r="D4266" s="367" t="s">
        <v>5</v>
      </c>
      <c r="E4266" s="367" t="s">
        <v>6</v>
      </c>
      <c r="F4266" s="389" t="s">
        <v>6803</v>
      </c>
      <c r="G4266" s="385">
        <v>46212</v>
      </c>
      <c r="H4266" s="367" t="s">
        <v>12</v>
      </c>
      <c r="I4266" s="368" t="str">
        <f>VLOOKUP(H4266,'[4]Source Codes'!A$2:B$115,2,FALSE)</f>
        <v>AR Direct Cash Journal</v>
      </c>
      <c r="J4266" s="412">
        <v>5276487.43</v>
      </c>
      <c r="K4266" s="385">
        <v>46218</v>
      </c>
      <c r="L4266" s="369" t="s">
        <v>6810</v>
      </c>
      <c r="M4266" s="390">
        <v>46218.751909722225</v>
      </c>
      <c r="N4266" s="366" t="s">
        <v>356</v>
      </c>
      <c r="O4266" s="367" t="s">
        <v>370</v>
      </c>
      <c r="P4266" s="368" t="str">
        <f t="shared" si="191"/>
        <v>Revenue</v>
      </c>
      <c r="Q4266" s="366" t="s">
        <v>2264</v>
      </c>
      <c r="R4266" s="366" t="s">
        <v>2264</v>
      </c>
      <c r="S4266" s="366" t="s">
        <v>5226</v>
      </c>
    </row>
    <row r="4267" spans="1:19" ht="12.75" hidden="1" customHeight="1" outlineLevel="1">
      <c r="B4267" s="384">
        <v>2027</v>
      </c>
      <c r="C4267" s="384">
        <v>1</v>
      </c>
      <c r="D4267" s="367" t="s">
        <v>5</v>
      </c>
      <c r="E4267" s="367" t="s">
        <v>6</v>
      </c>
      <c r="F4267" s="389" t="s">
        <v>6804</v>
      </c>
      <c r="G4267" s="385">
        <v>46218</v>
      </c>
      <c r="H4267" s="367" t="s">
        <v>9</v>
      </c>
      <c r="I4267" s="368" t="str">
        <f>VLOOKUP(H4267,'[4]Source Codes'!A$2:B$115,2,FALSE)</f>
        <v>On Line Journal Entries</v>
      </c>
      <c r="J4267" s="412">
        <v>179262221.78</v>
      </c>
      <c r="K4267" s="385">
        <v>46218</v>
      </c>
      <c r="L4267" s="369" t="s">
        <v>6806</v>
      </c>
      <c r="M4267" s="390">
        <v>46218.679305555554</v>
      </c>
      <c r="N4267" s="368" t="s">
        <v>2185</v>
      </c>
      <c r="O4267" s="367" t="s">
        <v>358</v>
      </c>
      <c r="P4267" s="368" t="str">
        <f t="shared" si="191"/>
        <v>Revenue</v>
      </c>
      <c r="Q4267" s="366" t="s">
        <v>2512</v>
      </c>
      <c r="R4267" s="366" t="s">
        <v>6731</v>
      </c>
      <c r="S4267" s="366">
        <v>101500</v>
      </c>
    </row>
    <row r="4268" spans="1:19" ht="30" hidden="1" outlineLevel="1">
      <c r="B4268" s="384">
        <v>2027</v>
      </c>
      <c r="C4268" s="384">
        <v>1</v>
      </c>
      <c r="D4268" s="367" t="s">
        <v>5</v>
      </c>
      <c r="E4268" s="367" t="s">
        <v>6</v>
      </c>
      <c r="F4268" s="389" t="s">
        <v>6805</v>
      </c>
      <c r="G4268" s="385">
        <v>46218</v>
      </c>
      <c r="H4268" s="367" t="s">
        <v>9</v>
      </c>
      <c r="I4268" s="368" t="str">
        <f>VLOOKUP(H4268,'[4]Source Codes'!A$2:B$115,2,FALSE)</f>
        <v>On Line Journal Entries</v>
      </c>
      <c r="J4268" s="412">
        <v>-179262221.78</v>
      </c>
      <c r="K4268" s="385">
        <v>46218</v>
      </c>
      <c r="L4268" s="369" t="s">
        <v>6807</v>
      </c>
      <c r="M4268" s="390">
        <v>46218.467557870368</v>
      </c>
      <c r="N4268" s="366" t="s">
        <v>377</v>
      </c>
      <c r="O4268" s="367" t="s">
        <v>358</v>
      </c>
      <c r="P4268" s="368" t="str">
        <f t="shared" si="191"/>
        <v>Expense</v>
      </c>
      <c r="Q4268" s="366" t="s">
        <v>2512</v>
      </c>
      <c r="R4268" s="366" t="s">
        <v>6731</v>
      </c>
      <c r="S4268" s="366">
        <v>101500</v>
      </c>
    </row>
    <row r="4269" spans="1:19" ht="12.75" customHeight="1" collapsed="1">
      <c r="J4269" s="413">
        <f>SUM(J4262:J4268)</f>
        <v>1321693.4199999869</v>
      </c>
    </row>
    <row r="4271" spans="1:19" ht="12.75" customHeight="1">
      <c r="A4271" s="378" t="s">
        <v>6814</v>
      </c>
    </row>
    <row r="4272" spans="1:19" ht="45" hidden="1" outlineLevel="1">
      <c r="B4272" s="384">
        <v>2027</v>
      </c>
      <c r="C4272" s="384">
        <v>1</v>
      </c>
      <c r="D4272" s="367" t="s">
        <v>5</v>
      </c>
      <c r="E4272" s="367" t="s">
        <v>6</v>
      </c>
      <c r="F4272" s="389" t="s">
        <v>6815</v>
      </c>
      <c r="G4272" s="385">
        <v>46219</v>
      </c>
      <c r="H4272" s="367" t="s">
        <v>14</v>
      </c>
      <c r="I4272" s="368" t="str">
        <f>VLOOKUP(H4272,'[4]Source Codes'!A$2:B$115,2,FALSE)</f>
        <v>AP Warrant Issuance</v>
      </c>
      <c r="J4272" s="412">
        <v>-2470801</v>
      </c>
      <c r="K4272" s="385">
        <v>46219</v>
      </c>
      <c r="L4272" s="369" t="s">
        <v>6832</v>
      </c>
      <c r="M4272" s="390">
        <v>46219.758101851854</v>
      </c>
      <c r="N4272" s="366" t="s">
        <v>356</v>
      </c>
      <c r="O4272" s="367" t="s">
        <v>368</v>
      </c>
      <c r="P4272" s="368" t="str">
        <f t="shared" ref="P4272:P4280" si="192">IF(J4272&gt;0,"Revenue",IF(J4272&lt;0,"Expense"))</f>
        <v>Expense</v>
      </c>
      <c r="Q4272" s="366" t="s">
        <v>2154</v>
      </c>
      <c r="R4272" s="366" t="s">
        <v>2154</v>
      </c>
      <c r="S4272" s="366">
        <v>530280</v>
      </c>
    </row>
    <row r="4273" spans="1:19" ht="30" hidden="1" outlineLevel="1">
      <c r="B4273" s="384">
        <v>2027</v>
      </c>
      <c r="C4273" s="384">
        <v>1</v>
      </c>
      <c r="D4273" s="367" t="s">
        <v>5</v>
      </c>
      <c r="E4273" s="367" t="s">
        <v>6</v>
      </c>
      <c r="F4273" s="389" t="s">
        <v>6816</v>
      </c>
      <c r="G4273" s="385">
        <v>46219</v>
      </c>
      <c r="H4273" s="367" t="s">
        <v>14</v>
      </c>
      <c r="I4273" s="368" t="str">
        <f>VLOOKUP(H4273,'[4]Source Codes'!A$2:B$115,2,FALSE)</f>
        <v>AP Warrant Issuance</v>
      </c>
      <c r="J4273" s="412">
        <v>-1406468.13</v>
      </c>
      <c r="K4273" s="385">
        <v>46219</v>
      </c>
      <c r="L4273" s="369" t="s">
        <v>6833</v>
      </c>
      <c r="M4273" s="390">
        <v>46219.758101851854</v>
      </c>
      <c r="N4273" s="366" t="s">
        <v>356</v>
      </c>
      <c r="O4273" s="367" t="s">
        <v>357</v>
      </c>
      <c r="P4273" s="368" t="str">
        <f t="shared" si="192"/>
        <v>Expense</v>
      </c>
      <c r="Q4273" s="366" t="s">
        <v>2309</v>
      </c>
      <c r="R4273" s="366" t="s">
        <v>2310</v>
      </c>
      <c r="S4273" s="366" t="s">
        <v>203</v>
      </c>
    </row>
    <row r="4274" spans="1:19" ht="60" hidden="1" outlineLevel="1">
      <c r="B4274" s="384">
        <v>2027</v>
      </c>
      <c r="C4274" s="384">
        <v>1</v>
      </c>
      <c r="D4274" s="367" t="s">
        <v>5</v>
      </c>
      <c r="E4274" s="367" t="s">
        <v>6</v>
      </c>
      <c r="F4274" s="389" t="s">
        <v>6817</v>
      </c>
      <c r="G4274" s="385">
        <v>46219</v>
      </c>
      <c r="H4274" s="367" t="s">
        <v>11</v>
      </c>
      <c r="I4274" s="368" t="str">
        <f>VLOOKUP(H4274,'[4]Source Codes'!A$2:B$115,2,FALSE)</f>
        <v>AR Payments</v>
      </c>
      <c r="J4274" s="412">
        <v>5300493.96</v>
      </c>
      <c r="K4274" s="385">
        <v>46219</v>
      </c>
      <c r="L4274" s="369" t="s">
        <v>6834</v>
      </c>
      <c r="M4274" s="390">
        <v>46219.75236111111</v>
      </c>
      <c r="N4274" s="366" t="s">
        <v>359</v>
      </c>
      <c r="O4274" s="367" t="s">
        <v>357</v>
      </c>
      <c r="P4274" s="368" t="str">
        <f t="shared" si="192"/>
        <v>Revenue</v>
      </c>
      <c r="Q4274" s="366" t="s">
        <v>2157</v>
      </c>
      <c r="R4274" s="366" t="s">
        <v>2157</v>
      </c>
      <c r="S4274" s="366" t="s">
        <v>2531</v>
      </c>
    </row>
    <row r="4275" spans="1:19" ht="45" hidden="1" outlineLevel="1">
      <c r="B4275" s="384">
        <v>2026</v>
      </c>
      <c r="C4275" s="384">
        <v>12</v>
      </c>
      <c r="D4275" s="367" t="s">
        <v>5</v>
      </c>
      <c r="E4275" s="367" t="s">
        <v>6</v>
      </c>
      <c r="F4275" s="389" t="s">
        <v>6818</v>
      </c>
      <c r="G4275" s="385">
        <v>46203</v>
      </c>
      <c r="H4275" s="367" t="s">
        <v>9</v>
      </c>
      <c r="I4275" s="368" t="str">
        <f>VLOOKUP(H4275,'[4]Source Codes'!A$2:B$115,2,FALSE)</f>
        <v>On Line Journal Entries</v>
      </c>
      <c r="J4275" s="412">
        <v>2440066.5099999998</v>
      </c>
      <c r="K4275" s="385">
        <v>46219</v>
      </c>
      <c r="L4275" s="369" t="s">
        <v>6824</v>
      </c>
      <c r="M4275" s="390">
        <v>46219.870104166665</v>
      </c>
      <c r="N4275" s="366" t="s">
        <v>361</v>
      </c>
      <c r="O4275" s="367" t="s">
        <v>373</v>
      </c>
      <c r="P4275" s="368" t="str">
        <f t="shared" si="192"/>
        <v>Revenue</v>
      </c>
      <c r="Q4275" s="366" t="s">
        <v>4294</v>
      </c>
      <c r="R4275" s="366" t="s">
        <v>6837</v>
      </c>
      <c r="S4275" s="366" t="s">
        <v>4296</v>
      </c>
    </row>
    <row r="4276" spans="1:19" ht="15" hidden="1" outlineLevel="1">
      <c r="B4276" s="384">
        <v>2026</v>
      </c>
      <c r="C4276" s="384">
        <v>12</v>
      </c>
      <c r="D4276" s="367" t="s">
        <v>5</v>
      </c>
      <c r="E4276" s="367" t="s">
        <v>6</v>
      </c>
      <c r="F4276" s="389" t="s">
        <v>6819</v>
      </c>
      <c r="G4276" s="385">
        <v>46203</v>
      </c>
      <c r="H4276" s="367" t="s">
        <v>9</v>
      </c>
      <c r="I4276" s="368" t="str">
        <f>VLOOKUP(H4276,'[4]Source Codes'!A$2:B$115,2,FALSE)</f>
        <v>On Line Journal Entries</v>
      </c>
      <c r="J4276" s="412">
        <v>1827836.24</v>
      </c>
      <c r="K4276" s="385">
        <v>46219</v>
      </c>
      <c r="L4276" s="369" t="s">
        <v>6825</v>
      </c>
      <c r="M4276" s="390">
        <v>46219.870104166665</v>
      </c>
      <c r="N4276" s="366" t="s">
        <v>2185</v>
      </c>
      <c r="O4276" s="367" t="s">
        <v>373</v>
      </c>
      <c r="P4276" s="368" t="str">
        <f t="shared" si="192"/>
        <v>Revenue</v>
      </c>
      <c r="Q4276" s="366" t="s">
        <v>6840</v>
      </c>
      <c r="R4276" s="366" t="s">
        <v>6840</v>
      </c>
      <c r="S4276" s="366">
        <v>515040</v>
      </c>
    </row>
    <row r="4277" spans="1:19" ht="30" hidden="1" outlineLevel="1">
      <c r="B4277" s="384">
        <v>2026</v>
      </c>
      <c r="C4277" s="384">
        <v>12</v>
      </c>
      <c r="D4277" s="367" t="s">
        <v>5</v>
      </c>
      <c r="E4277" s="367" t="s">
        <v>6</v>
      </c>
      <c r="F4277" s="389" t="s">
        <v>6820</v>
      </c>
      <c r="G4277" s="385">
        <v>46203</v>
      </c>
      <c r="H4277" s="367" t="s">
        <v>9</v>
      </c>
      <c r="I4277" s="368" t="str">
        <f>VLOOKUP(H4277,'[4]Source Codes'!A$2:B$115,2,FALSE)</f>
        <v>On Line Journal Entries</v>
      </c>
      <c r="J4277" s="412">
        <v>1139654.82</v>
      </c>
      <c r="K4277" s="385">
        <v>46219</v>
      </c>
      <c r="L4277" s="369" t="s">
        <v>6826</v>
      </c>
      <c r="M4277" s="390">
        <v>46219.870104166665</v>
      </c>
      <c r="N4277" s="366" t="s">
        <v>361</v>
      </c>
      <c r="O4277" s="367" t="s">
        <v>376</v>
      </c>
      <c r="P4277" s="368" t="str">
        <f t="shared" si="192"/>
        <v>Revenue</v>
      </c>
      <c r="Q4277" s="366" t="s">
        <v>5516</v>
      </c>
      <c r="R4277" s="366" t="s">
        <v>4271</v>
      </c>
      <c r="S4277" s="366">
        <v>755901</v>
      </c>
    </row>
    <row r="4278" spans="1:19" ht="30" hidden="1" outlineLevel="1">
      <c r="B4278" s="384">
        <v>2026</v>
      </c>
      <c r="C4278" s="384">
        <v>12</v>
      </c>
      <c r="D4278" s="367" t="s">
        <v>5</v>
      </c>
      <c r="E4278" s="367" t="s">
        <v>6</v>
      </c>
      <c r="F4278" s="389" t="s">
        <v>6821</v>
      </c>
      <c r="G4278" s="385">
        <v>46203</v>
      </c>
      <c r="H4278" s="367" t="s">
        <v>9</v>
      </c>
      <c r="I4278" s="368" t="str">
        <f>VLOOKUP(H4278,'[4]Source Codes'!A$2:B$115,2,FALSE)</f>
        <v>On Line Journal Entries</v>
      </c>
      <c r="J4278" s="412">
        <v>-5105689.5999999996</v>
      </c>
      <c r="K4278" s="385">
        <v>46219</v>
      </c>
      <c r="L4278" s="369" t="s">
        <v>6827</v>
      </c>
      <c r="M4278" s="390">
        <v>46219.870104166665</v>
      </c>
      <c r="N4278" s="366" t="s">
        <v>361</v>
      </c>
      <c r="O4278" s="367" t="s">
        <v>1180</v>
      </c>
      <c r="P4278" s="368" t="str">
        <f t="shared" si="192"/>
        <v>Expense</v>
      </c>
      <c r="Q4278" s="366" t="s">
        <v>6842</v>
      </c>
      <c r="R4278" s="366" t="s">
        <v>6843</v>
      </c>
      <c r="S4278" s="366">
        <v>781680</v>
      </c>
    </row>
    <row r="4279" spans="1:19" ht="30" hidden="1" outlineLevel="1">
      <c r="B4279" s="384">
        <v>2026</v>
      </c>
      <c r="C4279" s="384">
        <v>12</v>
      </c>
      <c r="D4279" s="367" t="s">
        <v>5</v>
      </c>
      <c r="E4279" s="367" t="s">
        <v>6</v>
      </c>
      <c r="F4279" s="389" t="s">
        <v>6822</v>
      </c>
      <c r="G4279" s="385">
        <v>46203</v>
      </c>
      <c r="H4279" s="367" t="s">
        <v>9</v>
      </c>
      <c r="I4279" s="368" t="str">
        <f>VLOOKUP(H4279,'[4]Source Codes'!A$2:B$115,2,FALSE)</f>
        <v>On Line Journal Entries</v>
      </c>
      <c r="J4279" s="412">
        <v>-5440743</v>
      </c>
      <c r="K4279" s="385">
        <v>46219</v>
      </c>
      <c r="L4279" s="369" t="s">
        <v>6574</v>
      </c>
      <c r="M4279" s="390">
        <v>46219.870104166665</v>
      </c>
      <c r="N4279" s="366" t="s">
        <v>377</v>
      </c>
      <c r="O4279" s="367" t="s">
        <v>370</v>
      </c>
      <c r="P4279" s="368" t="str">
        <f t="shared" si="192"/>
        <v>Expense</v>
      </c>
      <c r="Q4279" s="366" t="s">
        <v>2619</v>
      </c>
      <c r="R4279" s="366" t="s">
        <v>5814</v>
      </c>
      <c r="S4279" s="366">
        <v>778120</v>
      </c>
    </row>
    <row r="4280" spans="1:19" ht="30" hidden="1" outlineLevel="1">
      <c r="B4280" s="384">
        <v>2027</v>
      </c>
      <c r="C4280" s="384">
        <v>1</v>
      </c>
      <c r="D4280" s="367" t="s">
        <v>5</v>
      </c>
      <c r="E4280" s="367" t="s">
        <v>6</v>
      </c>
      <c r="F4280" s="389" t="s">
        <v>6823</v>
      </c>
      <c r="G4280" s="385">
        <v>46218</v>
      </c>
      <c r="H4280" s="367" t="s">
        <v>9</v>
      </c>
      <c r="I4280" s="368" t="str">
        <f>VLOOKUP(H4280,'[4]Source Codes'!A$2:B$115,2,FALSE)</f>
        <v>On Line Journal Entries</v>
      </c>
      <c r="J4280" s="412">
        <v>-15000000</v>
      </c>
      <c r="K4280" s="385">
        <v>46219</v>
      </c>
      <c r="L4280" s="369" t="s">
        <v>6848</v>
      </c>
      <c r="M4280" s="390">
        <v>46219.338159722225</v>
      </c>
      <c r="N4280" s="366" t="s">
        <v>387</v>
      </c>
      <c r="O4280" s="367" t="s">
        <v>358</v>
      </c>
      <c r="P4280" s="368" t="str">
        <f t="shared" si="192"/>
        <v>Expense</v>
      </c>
      <c r="Q4280" s="366" t="s">
        <v>6849</v>
      </c>
      <c r="R4280" s="366" t="s">
        <v>6849</v>
      </c>
      <c r="S4280" s="366">
        <v>551100</v>
      </c>
    </row>
    <row r="4281" spans="1:19" ht="15" collapsed="1">
      <c r="J4281" s="413">
        <f>SUM(J4272:J4280)</f>
        <v>-18715650.199999999</v>
      </c>
    </row>
    <row r="4283" spans="1:19" ht="12.75" customHeight="1">
      <c r="A4283" s="378" t="s">
        <v>6853</v>
      </c>
    </row>
    <row r="4284" spans="1:19" ht="60" hidden="1" outlineLevel="1">
      <c r="B4284" s="384">
        <v>2027</v>
      </c>
      <c r="C4284" s="384">
        <v>1</v>
      </c>
      <c r="D4284" s="367" t="s">
        <v>5</v>
      </c>
      <c r="E4284" s="367" t="s">
        <v>6</v>
      </c>
      <c r="F4284" s="389" t="s">
        <v>6854</v>
      </c>
      <c r="G4284" s="385">
        <v>46220</v>
      </c>
      <c r="H4284" s="367" t="s">
        <v>14</v>
      </c>
      <c r="I4284" s="368" t="str">
        <f>VLOOKUP(H4284,'[4]Source Codes'!A$2:B$115,2,FALSE)</f>
        <v>AP Warrant Issuance</v>
      </c>
      <c r="J4284" s="412">
        <v>-1170353.93</v>
      </c>
      <c r="K4284" s="385">
        <v>46220</v>
      </c>
      <c r="L4284" s="369" t="s">
        <v>6865</v>
      </c>
      <c r="M4284" s="390">
        <v>46220.757118055553</v>
      </c>
      <c r="N4284" s="368" t="s">
        <v>387</v>
      </c>
      <c r="O4284" s="368" t="s">
        <v>363</v>
      </c>
      <c r="P4284" s="368" t="str">
        <f>IF(J4284&gt;0,"Revenue",IF(J4284&lt;0,"Expense"))</f>
        <v>Expense</v>
      </c>
      <c r="Q4284" s="366" t="s">
        <v>6872</v>
      </c>
      <c r="R4284" s="365" t="s">
        <v>6879</v>
      </c>
      <c r="S4284" s="366">
        <v>525440</v>
      </c>
    </row>
    <row r="4285" spans="1:19" ht="30" hidden="1" outlineLevel="1">
      <c r="B4285" s="384">
        <v>2026</v>
      </c>
      <c r="C4285" s="384">
        <v>12</v>
      </c>
      <c r="D4285" s="367" t="s">
        <v>5</v>
      </c>
      <c r="E4285" s="367" t="s">
        <v>6</v>
      </c>
      <c r="F4285" s="389" t="s">
        <v>6855</v>
      </c>
      <c r="G4285" s="385">
        <v>46175</v>
      </c>
      <c r="H4285" s="367" t="s">
        <v>9</v>
      </c>
      <c r="I4285" s="368" t="str">
        <f>VLOOKUP(H4285,'[4]Source Codes'!A$2:B$115,2,FALSE)</f>
        <v>On Line Journal Entries</v>
      </c>
      <c r="J4285" s="412">
        <v>2833250.18</v>
      </c>
      <c r="K4285" s="385">
        <v>46220</v>
      </c>
      <c r="L4285" s="369" t="s">
        <v>6860</v>
      </c>
      <c r="M4285" s="390">
        <v>46220.869884259257</v>
      </c>
      <c r="N4285" s="366" t="s">
        <v>361</v>
      </c>
      <c r="O4285" s="367" t="s">
        <v>376</v>
      </c>
      <c r="P4285" s="368" t="s">
        <v>2290</v>
      </c>
      <c r="Q4285" s="366" t="s">
        <v>2685</v>
      </c>
      <c r="R4285" s="366" t="s">
        <v>6877</v>
      </c>
      <c r="S4285" s="366">
        <v>755931</v>
      </c>
    </row>
    <row r="4286" spans="1:19" ht="15" hidden="1" outlineLevel="1">
      <c r="B4286" s="384">
        <v>2026</v>
      </c>
      <c r="C4286" s="384">
        <v>12</v>
      </c>
      <c r="D4286" s="367" t="s">
        <v>5</v>
      </c>
      <c r="E4286" s="367" t="s">
        <v>6</v>
      </c>
      <c r="F4286" s="389" t="s">
        <v>6856</v>
      </c>
      <c r="G4286" s="385">
        <v>46203</v>
      </c>
      <c r="H4286" s="367" t="s">
        <v>9</v>
      </c>
      <c r="I4286" s="368" t="str">
        <f>VLOOKUP(H4286,'[4]Source Codes'!A$2:B$115,2,FALSE)</f>
        <v>On Line Journal Entries</v>
      </c>
      <c r="J4286" s="412">
        <v>2995352.95</v>
      </c>
      <c r="K4286" s="385">
        <v>46220</v>
      </c>
      <c r="L4286" s="369" t="s">
        <v>6861</v>
      </c>
      <c r="M4286" s="390">
        <v>46220.869884259257</v>
      </c>
      <c r="N4286" s="366" t="s">
        <v>361</v>
      </c>
      <c r="O4286" s="367" t="s">
        <v>376</v>
      </c>
      <c r="P4286" s="368" t="s">
        <v>2290</v>
      </c>
      <c r="Q4286" s="366" t="s">
        <v>2657</v>
      </c>
      <c r="R4286" s="366" t="s">
        <v>6875</v>
      </c>
      <c r="S4286" s="366">
        <v>755928</v>
      </c>
    </row>
    <row r="4287" spans="1:19" ht="15" hidden="1" outlineLevel="1">
      <c r="B4287" s="384">
        <v>2026</v>
      </c>
      <c r="C4287" s="384">
        <v>12</v>
      </c>
      <c r="D4287" s="367" t="s">
        <v>5</v>
      </c>
      <c r="E4287" s="367" t="s">
        <v>6</v>
      </c>
      <c r="F4287" s="389" t="s">
        <v>6857</v>
      </c>
      <c r="G4287" s="385">
        <v>46203</v>
      </c>
      <c r="H4287" s="367" t="s">
        <v>9</v>
      </c>
      <c r="I4287" s="368" t="str">
        <f>VLOOKUP(H4287,'[4]Source Codes'!A$2:B$115,2,FALSE)</f>
        <v>On Line Journal Entries</v>
      </c>
      <c r="J4287" s="412">
        <v>3400482.93</v>
      </c>
      <c r="K4287" s="385">
        <v>46220</v>
      </c>
      <c r="L4287" s="369" t="s">
        <v>6862</v>
      </c>
      <c r="M4287" s="390">
        <v>46220.869884259257</v>
      </c>
      <c r="N4287" s="366" t="s">
        <v>361</v>
      </c>
      <c r="O4287" s="367" t="s">
        <v>376</v>
      </c>
      <c r="P4287" s="368" t="s">
        <v>2290</v>
      </c>
      <c r="Q4287" s="366" t="s">
        <v>4230</v>
      </c>
      <c r="R4287" s="366" t="s">
        <v>6866</v>
      </c>
      <c r="S4287" s="366">
        <v>752403</v>
      </c>
    </row>
    <row r="4288" spans="1:19" ht="30" hidden="1" outlineLevel="1">
      <c r="B4288" s="384">
        <v>2026</v>
      </c>
      <c r="C4288" s="384">
        <v>12</v>
      </c>
      <c r="D4288" s="367" t="s">
        <v>5</v>
      </c>
      <c r="E4288" s="367" t="s">
        <v>6</v>
      </c>
      <c r="F4288" s="389" t="s">
        <v>6858</v>
      </c>
      <c r="G4288" s="385">
        <v>46203</v>
      </c>
      <c r="H4288" s="367" t="s">
        <v>9</v>
      </c>
      <c r="I4288" s="368" t="str">
        <f>VLOOKUP(H4288,'[4]Source Codes'!A$2:B$115,2,FALSE)</f>
        <v>On Line Journal Entries</v>
      </c>
      <c r="J4288" s="412">
        <v>9887493</v>
      </c>
      <c r="K4288" s="385">
        <v>46220</v>
      </c>
      <c r="L4288" s="369" t="s">
        <v>6863</v>
      </c>
      <c r="M4288" s="390">
        <v>46220.869884259257</v>
      </c>
      <c r="N4288" s="366" t="s">
        <v>361</v>
      </c>
      <c r="O4288" s="367" t="s">
        <v>357</v>
      </c>
      <c r="P4288" s="368" t="s">
        <v>2290</v>
      </c>
      <c r="Q4288" s="366" t="s">
        <v>2671</v>
      </c>
      <c r="R4288" s="366" t="s">
        <v>6565</v>
      </c>
      <c r="S4288" s="366">
        <v>755900</v>
      </c>
    </row>
    <row r="4289" spans="1:19" ht="15" hidden="1" outlineLevel="1">
      <c r="B4289" s="384">
        <v>2026</v>
      </c>
      <c r="C4289" s="384">
        <v>12</v>
      </c>
      <c r="D4289" s="367" t="s">
        <v>5</v>
      </c>
      <c r="E4289" s="367" t="s">
        <v>6</v>
      </c>
      <c r="F4289" s="389" t="s">
        <v>6859</v>
      </c>
      <c r="G4289" s="385">
        <v>46203</v>
      </c>
      <c r="H4289" s="367" t="s">
        <v>8</v>
      </c>
      <c r="I4289" s="367" t="s">
        <v>165</v>
      </c>
      <c r="J4289" s="412">
        <v>-3510823.27</v>
      </c>
      <c r="K4289" s="385">
        <v>46220</v>
      </c>
      <c r="L4289" s="369" t="s">
        <v>6864</v>
      </c>
      <c r="M4289" s="390">
        <v>46220.523888888885</v>
      </c>
      <c r="N4289" s="366" t="s">
        <v>356</v>
      </c>
      <c r="O4289" s="367" t="s">
        <v>382</v>
      </c>
      <c r="P4289" s="368" t="s">
        <v>2291</v>
      </c>
      <c r="Q4289" s="366" t="s">
        <v>2328</v>
      </c>
      <c r="R4289" s="366" t="s">
        <v>6869</v>
      </c>
      <c r="S4289" s="366" t="s">
        <v>2535</v>
      </c>
    </row>
    <row r="4290" spans="1:19" ht="15" collapsed="1">
      <c r="J4290" s="413">
        <f>SUM(J4284:J4289)</f>
        <v>14435401.860000003</v>
      </c>
    </row>
    <row r="4292" spans="1:19" ht="12.75" customHeight="1">
      <c r="A4292" s="378" t="s">
        <v>6880</v>
      </c>
    </row>
    <row r="4293" spans="1:19" ht="60" hidden="1" outlineLevel="1">
      <c r="B4293" s="384">
        <v>2027</v>
      </c>
      <c r="C4293" s="384">
        <v>1</v>
      </c>
      <c r="D4293" s="367" t="s">
        <v>5</v>
      </c>
      <c r="E4293" s="367" t="s">
        <v>6</v>
      </c>
      <c r="F4293" s="389" t="s">
        <v>6881</v>
      </c>
      <c r="G4293" s="385">
        <v>46226</v>
      </c>
      <c r="H4293" s="367" t="s">
        <v>14</v>
      </c>
      <c r="I4293" s="368" t="str">
        <f>VLOOKUP(H4293,'[4]Source Codes'!A$2:B$115,2,FALSE)</f>
        <v>AP Warrant Issuance</v>
      </c>
      <c r="J4293" s="412">
        <v>-8042103</v>
      </c>
      <c r="K4293" s="385">
        <v>46224</v>
      </c>
      <c r="L4293" s="369" t="s">
        <v>6887</v>
      </c>
      <c r="M4293" s="390">
        <v>46224.762557870374</v>
      </c>
      <c r="N4293" s="366" t="s">
        <v>356</v>
      </c>
      <c r="O4293" s="367" t="s">
        <v>364</v>
      </c>
      <c r="P4293" s="368" t="s">
        <v>2613</v>
      </c>
      <c r="Q4293" s="366" t="s">
        <v>2254</v>
      </c>
      <c r="R4293" s="365">
        <v>46204</v>
      </c>
      <c r="S4293" s="366">
        <v>530440</v>
      </c>
    </row>
    <row r="4294" spans="1:19" ht="12.75" hidden="1" customHeight="1" outlineLevel="1">
      <c r="B4294" s="384">
        <v>2027</v>
      </c>
      <c r="C4294" s="384">
        <v>1</v>
      </c>
      <c r="D4294" s="367" t="s">
        <v>5</v>
      </c>
      <c r="E4294" s="367" t="s">
        <v>6</v>
      </c>
      <c r="F4294" s="389" t="s">
        <v>6882</v>
      </c>
      <c r="G4294" s="385">
        <v>46204</v>
      </c>
      <c r="H4294" s="367" t="s">
        <v>15</v>
      </c>
      <c r="I4294" s="367" t="s">
        <v>6886</v>
      </c>
      <c r="J4294" s="412">
        <v>7008484</v>
      </c>
      <c r="K4294" s="385">
        <v>46224</v>
      </c>
      <c r="L4294" s="369" t="s">
        <v>6884</v>
      </c>
      <c r="M4294" s="390">
        <v>46224.870057870372</v>
      </c>
      <c r="N4294" s="368" t="s">
        <v>2185</v>
      </c>
      <c r="O4294" s="367" t="s">
        <v>358</v>
      </c>
      <c r="P4294" s="368" t="s">
        <v>2290</v>
      </c>
      <c r="Q4294" s="366" t="s">
        <v>6890</v>
      </c>
      <c r="R4294" s="366" t="s">
        <v>6891</v>
      </c>
      <c r="S4294" s="366">
        <v>125100</v>
      </c>
    </row>
    <row r="4295" spans="1:19" ht="12.75" hidden="1" customHeight="1" outlineLevel="1">
      <c r="B4295" s="384">
        <v>2027</v>
      </c>
      <c r="C4295" s="384">
        <v>1</v>
      </c>
      <c r="D4295" s="367" t="s">
        <v>5</v>
      </c>
      <c r="E4295" s="367" t="s">
        <v>6</v>
      </c>
      <c r="F4295" s="389" t="s">
        <v>6883</v>
      </c>
      <c r="G4295" s="385">
        <v>46223</v>
      </c>
      <c r="H4295" s="367" t="s">
        <v>9</v>
      </c>
      <c r="I4295" s="368" t="str">
        <f>VLOOKUP(H4295,'[4]Source Codes'!A$2:B$115,2,FALSE)</f>
        <v>On Line Journal Entries</v>
      </c>
      <c r="J4295" s="412">
        <v>4564696</v>
      </c>
      <c r="K4295" s="385">
        <v>46224</v>
      </c>
      <c r="L4295" s="369" t="s">
        <v>6885</v>
      </c>
      <c r="M4295" s="390">
        <v>46224.870115740741</v>
      </c>
      <c r="N4295" s="366" t="s">
        <v>359</v>
      </c>
      <c r="O4295" s="367" t="s">
        <v>369</v>
      </c>
      <c r="P4295" s="368" t="s">
        <v>2290</v>
      </c>
      <c r="Q4295" s="366" t="s">
        <v>2268</v>
      </c>
      <c r="R4295" s="365">
        <v>46204</v>
      </c>
      <c r="S4295" s="366" t="s">
        <v>4726</v>
      </c>
    </row>
    <row r="4296" spans="1:19" ht="12.75" customHeight="1" collapsed="1">
      <c r="J4296" s="413">
        <f>SUM(J4293:J4295)</f>
        <v>3531077</v>
      </c>
    </row>
    <row r="4298" spans="1:19" ht="12.75" customHeight="1">
      <c r="A4298" s="378" t="s">
        <v>6892</v>
      </c>
    </row>
    <row r="4299" spans="1:19" ht="12.75" hidden="1" customHeight="1" outlineLevel="1">
      <c r="B4299" s="384">
        <v>2026</v>
      </c>
      <c r="C4299" s="384">
        <v>12</v>
      </c>
      <c r="D4299" s="367" t="s">
        <v>5</v>
      </c>
      <c r="E4299" s="367" t="s">
        <v>6</v>
      </c>
      <c r="F4299" s="389" t="s">
        <v>6893</v>
      </c>
      <c r="G4299" s="385">
        <v>46203</v>
      </c>
      <c r="H4299" s="367" t="s">
        <v>110</v>
      </c>
      <c r="I4299" s="368" t="str">
        <f>VLOOKUP(H4299,'[4]Source Codes'!A$2:B$115,2,FALSE)</f>
        <v>Treasurers Interest Apportion</v>
      </c>
      <c r="J4299" s="412">
        <v>11799427.02</v>
      </c>
      <c r="K4299" s="385">
        <v>46225</v>
      </c>
      <c r="L4299" s="369" t="s">
        <v>6897</v>
      </c>
      <c r="M4299" s="390">
        <v>46225.503055555557</v>
      </c>
      <c r="N4299" s="436" t="s">
        <v>372</v>
      </c>
      <c r="O4299" s="438" t="s">
        <v>371</v>
      </c>
      <c r="P4299" s="439" t="s">
        <v>2290</v>
      </c>
      <c r="Q4299" s="436" t="s">
        <v>2363</v>
      </c>
      <c r="R4299" s="436" t="s">
        <v>6899</v>
      </c>
      <c r="S4299" s="436">
        <v>740020</v>
      </c>
    </row>
    <row r="4300" spans="1:19" ht="12.75" hidden="1" customHeight="1" outlineLevel="1">
      <c r="B4300" s="384">
        <v>2027</v>
      </c>
      <c r="C4300" s="384">
        <v>1</v>
      </c>
      <c r="D4300" s="367" t="s">
        <v>5</v>
      </c>
      <c r="E4300" s="367" t="s">
        <v>6</v>
      </c>
      <c r="F4300" s="389" t="s">
        <v>6894</v>
      </c>
      <c r="G4300" s="385">
        <v>46225</v>
      </c>
      <c r="H4300" s="367" t="s">
        <v>7</v>
      </c>
      <c r="I4300" s="368" t="str">
        <f>VLOOKUP(H4300,'[4]Source Codes'!A$2:B$115,2,FALSE)</f>
        <v>HRMS Interface Journals</v>
      </c>
      <c r="J4300" s="412">
        <v>-1082990.74</v>
      </c>
      <c r="K4300" s="385">
        <v>46225</v>
      </c>
      <c r="L4300" s="369" t="s">
        <v>409</v>
      </c>
      <c r="M4300" s="390">
        <v>46225.449560185189</v>
      </c>
      <c r="N4300" s="366" t="s">
        <v>3624</v>
      </c>
      <c r="O4300" s="367" t="s">
        <v>379</v>
      </c>
      <c r="P4300" s="368" t="s">
        <v>2613</v>
      </c>
      <c r="Q4300" s="366" t="s">
        <v>379</v>
      </c>
      <c r="R4300" s="366" t="s">
        <v>6907</v>
      </c>
      <c r="S4300" s="366">
        <v>202100</v>
      </c>
    </row>
    <row r="4301" spans="1:19" ht="30" hidden="1" outlineLevel="1">
      <c r="B4301" s="384">
        <v>2027</v>
      </c>
      <c r="C4301" s="384">
        <v>1</v>
      </c>
      <c r="D4301" s="367" t="s">
        <v>5</v>
      </c>
      <c r="E4301" s="367" t="s">
        <v>6</v>
      </c>
      <c r="F4301" s="389" t="s">
        <v>6895</v>
      </c>
      <c r="G4301" s="385">
        <v>46204</v>
      </c>
      <c r="H4301" s="367" t="s">
        <v>15</v>
      </c>
      <c r="I4301" s="367" t="s">
        <v>6886</v>
      </c>
      <c r="J4301" s="412">
        <v>-1589316.1</v>
      </c>
      <c r="K4301" s="385">
        <v>46225</v>
      </c>
      <c r="L4301" s="369" t="s">
        <v>6898</v>
      </c>
      <c r="M4301" s="390">
        <v>46225.660219907404</v>
      </c>
      <c r="N4301" s="368" t="s">
        <v>2185</v>
      </c>
      <c r="O4301" s="367" t="s">
        <v>367</v>
      </c>
      <c r="P4301" s="368" t="s">
        <v>2613</v>
      </c>
      <c r="Q4301" s="366" t="s">
        <v>6906</v>
      </c>
      <c r="R4301" s="366" t="s">
        <v>6901</v>
      </c>
      <c r="S4301" s="366">
        <v>206200</v>
      </c>
    </row>
    <row r="4302" spans="1:19" ht="12.75" hidden="1" customHeight="1" outlineLevel="1">
      <c r="B4302" s="384">
        <v>2027</v>
      </c>
      <c r="C4302" s="384">
        <v>1</v>
      </c>
      <c r="D4302" s="367" t="s">
        <v>5</v>
      </c>
      <c r="E4302" s="367" t="s">
        <v>6</v>
      </c>
      <c r="F4302" s="389" t="s">
        <v>6896</v>
      </c>
      <c r="G4302" s="385">
        <v>46225</v>
      </c>
      <c r="H4302" s="367" t="s">
        <v>7</v>
      </c>
      <c r="I4302" s="368" t="str">
        <f>VLOOKUP(H4302,'[4]Source Codes'!A$2:B$115,2,FALSE)</f>
        <v>HRMS Interface Journals</v>
      </c>
      <c r="J4302" s="412">
        <v>-4557383.05</v>
      </c>
      <c r="K4302" s="385">
        <v>46225</v>
      </c>
      <c r="L4302" s="369" t="s">
        <v>407</v>
      </c>
      <c r="M4302" s="390">
        <v>46225.446805555555</v>
      </c>
      <c r="N4302" s="366" t="s">
        <v>378</v>
      </c>
      <c r="O4302" s="367" t="s">
        <v>379</v>
      </c>
      <c r="P4302" s="368" t="s">
        <v>2613</v>
      </c>
      <c r="Q4302" s="366" t="s">
        <v>379</v>
      </c>
      <c r="R4302" s="366" t="s">
        <v>6907</v>
      </c>
      <c r="S4302" s="366" t="s">
        <v>203</v>
      </c>
    </row>
    <row r="4303" spans="1:19" ht="12.75" customHeight="1" collapsed="1">
      <c r="J4303" s="413">
        <f>SUM(J4299:J4302)</f>
        <v>4569737.13</v>
      </c>
    </row>
    <row r="4305" spans="1:23" ht="12.75" customHeight="1">
      <c r="A4305" s="378" t="s">
        <v>6908</v>
      </c>
    </row>
    <row r="4306" spans="1:23" ht="60" outlineLevel="1">
      <c r="B4306" s="384">
        <v>2027</v>
      </c>
      <c r="C4306" s="384">
        <v>1</v>
      </c>
      <c r="D4306" s="367" t="s">
        <v>5</v>
      </c>
      <c r="E4306" s="367" t="s">
        <v>6</v>
      </c>
      <c r="F4306" s="389" t="s">
        <v>6909</v>
      </c>
      <c r="G4306" s="385">
        <v>46224</v>
      </c>
      <c r="H4306" s="367" t="s">
        <v>11</v>
      </c>
      <c r="I4306" s="368" t="str">
        <f>VLOOKUP(H4306,'[4]Source Codes'!A$2:B$115,2,FALSE)</f>
        <v>AR Payments</v>
      </c>
      <c r="J4306" s="412">
        <v>6873475.4299999997</v>
      </c>
      <c r="K4306" s="385">
        <v>46226</v>
      </c>
      <c r="L4306" s="369" t="s">
        <v>6915</v>
      </c>
      <c r="M4306" s="390">
        <v>46226.752129629633</v>
      </c>
      <c r="N4306" s="366" t="s">
        <v>359</v>
      </c>
      <c r="O4306" s="367" t="s">
        <v>357</v>
      </c>
      <c r="P4306" s="368" t="s">
        <v>2290</v>
      </c>
      <c r="Q4306" s="366" t="s">
        <v>2157</v>
      </c>
      <c r="R4306" s="366" t="s">
        <v>2157</v>
      </c>
      <c r="S4306" s="366" t="s">
        <v>2231</v>
      </c>
    </row>
    <row r="4307" spans="1:23" ht="15" outlineLevel="1">
      <c r="B4307" s="384">
        <v>2026</v>
      </c>
      <c r="C4307" s="384">
        <v>12</v>
      </c>
      <c r="D4307" s="367" t="s">
        <v>5</v>
      </c>
      <c r="E4307" s="367" t="s">
        <v>6</v>
      </c>
      <c r="F4307" s="389" t="s">
        <v>6910</v>
      </c>
      <c r="G4307" s="385">
        <v>46203</v>
      </c>
      <c r="H4307" s="367" t="s">
        <v>9</v>
      </c>
      <c r="I4307" s="368" t="str">
        <f>VLOOKUP(H4307,'[4]Source Codes'!A$2:B$115,2,FALSE)</f>
        <v>On Line Journal Entries</v>
      </c>
      <c r="J4307" s="412">
        <v>2202750</v>
      </c>
      <c r="K4307" s="385">
        <v>46226</v>
      </c>
      <c r="L4307" s="369" t="s">
        <v>6913</v>
      </c>
      <c r="M4307" s="390">
        <v>46226.871435185189</v>
      </c>
      <c r="N4307" s="368" t="s">
        <v>2185</v>
      </c>
      <c r="O4307" s="368" t="s">
        <v>4518</v>
      </c>
      <c r="P4307" s="368" t="s">
        <v>2290</v>
      </c>
      <c r="Q4307" s="366" t="s">
        <v>4519</v>
      </c>
      <c r="R4307" s="366" t="s">
        <v>6918</v>
      </c>
      <c r="S4307" s="368">
        <v>790500</v>
      </c>
      <c r="T4307" s="368"/>
      <c r="U4307" s="366"/>
      <c r="V4307" s="365"/>
      <c r="W4307" s="366"/>
    </row>
    <row r="4308" spans="1:23" ht="15" outlineLevel="1">
      <c r="B4308" s="384">
        <v>2027</v>
      </c>
      <c r="C4308" s="384">
        <v>1</v>
      </c>
      <c r="D4308" s="367" t="s">
        <v>5</v>
      </c>
      <c r="E4308" s="367" t="s">
        <v>6</v>
      </c>
      <c r="F4308" s="389" t="s">
        <v>6911</v>
      </c>
      <c r="G4308" s="385">
        <v>46204</v>
      </c>
      <c r="H4308" s="367" t="s">
        <v>15</v>
      </c>
      <c r="I4308" s="367" t="s">
        <v>6886</v>
      </c>
      <c r="J4308" s="412">
        <v>-1787355.09</v>
      </c>
      <c r="K4308" s="385">
        <v>46226</v>
      </c>
      <c r="L4308" s="369" t="s">
        <v>6914</v>
      </c>
      <c r="M4308" s="390">
        <v>46226.442430555559</v>
      </c>
      <c r="N4308" s="368" t="s">
        <v>2185</v>
      </c>
      <c r="O4308" s="367" t="s">
        <v>367</v>
      </c>
      <c r="P4308" s="368" t="s">
        <v>2613</v>
      </c>
      <c r="Q4308" s="366" t="s">
        <v>6906</v>
      </c>
      <c r="R4308" s="366" t="s">
        <v>6919</v>
      </c>
      <c r="S4308" s="366" t="s">
        <v>6920</v>
      </c>
    </row>
    <row r="4309" spans="1:23" ht="12.75" customHeight="1" outlineLevel="1">
      <c r="B4309" s="384">
        <v>2027</v>
      </c>
      <c r="C4309" s="384">
        <v>1</v>
      </c>
      <c r="D4309" s="367" t="s">
        <v>5</v>
      </c>
      <c r="E4309" s="367" t="s">
        <v>6</v>
      </c>
      <c r="F4309" s="389" t="s">
        <v>6912</v>
      </c>
      <c r="G4309" s="385">
        <v>46225</v>
      </c>
      <c r="H4309" s="367" t="s">
        <v>7</v>
      </c>
      <c r="I4309" s="368" t="str">
        <f>VLOOKUP(H4309,'[4]Source Codes'!A$2:B$115,2,FALSE)</f>
        <v>HRMS Interface Journals</v>
      </c>
      <c r="J4309" s="412">
        <v>-30651626.109999999</v>
      </c>
      <c r="K4309" s="385">
        <v>46226</v>
      </c>
      <c r="L4309" s="369" t="s">
        <v>406</v>
      </c>
      <c r="M4309" s="390">
        <v>46226.471967592595</v>
      </c>
      <c r="N4309" s="366" t="s">
        <v>378</v>
      </c>
      <c r="O4309" s="367" t="s">
        <v>371</v>
      </c>
      <c r="P4309" s="368" t="s">
        <v>2613</v>
      </c>
      <c r="Q4309" s="366" t="s">
        <v>379</v>
      </c>
      <c r="R4309" s="366" t="s">
        <v>4081</v>
      </c>
      <c r="S4309" s="366" t="s">
        <v>3927</v>
      </c>
    </row>
    <row r="4310" spans="1:23" ht="12.75" customHeight="1">
      <c r="J4310" s="413">
        <f>SUM(J4306:J4309)</f>
        <v>-23362755.77</v>
      </c>
    </row>
  </sheetData>
  <sheetProtection algorithmName="SHA-512" hashValue="d3Hr9wCcI/qbQ+OPr9r+5g3WGGrl9rItlZj3wFhgYlPOhVKQGIQBasb6Dj16R4u2iOWMnyYN5/Rj1z7P4DzCQg==" saltValue="JQIpSo49sNNvhx9HryHDNQ==" spinCount="100000" sheet="1" formatCells="0" formatColumns="0" formatRows="0" insertColumns="0" insertRows="0" insertHyperlinks="0" deleteColumns="0" deleteRows="0" sort="0" autoFilter="0" pivotTables="0"/>
  <autoFilter ref="A1:S4" xr:uid="{B1DC9172-6491-49D5-9D3A-58D5D36B4D78}"/>
  <phoneticPr fontId="96" type="noConversion"/>
  <pageMargins left="0.7" right="0.7" top="0.75" bottom="0.75" header="0.3" footer="0.3"/>
  <pageSetup orientation="portrait" r:id="rId1"/>
  <ignoredErrors>
    <ignoredError sqref="J2254 I3236 P3588 I3599" unlockedFormula="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A67C6E-67E9-4E2C-BDD0-2C5F95A7653C}">
  <dimension ref="A1:U141"/>
  <sheetViews>
    <sheetView zoomScaleNormal="100" workbookViewId="0">
      <selection activeCell="K7" sqref="K7"/>
    </sheetView>
  </sheetViews>
  <sheetFormatPr defaultColWidth="10.42578125" defaultRowHeight="15" outlineLevelRow="2"/>
  <cols>
    <col min="1" max="1" width="1.42578125" style="32" customWidth="1"/>
    <col min="2" max="2" width="42.5703125" style="36" customWidth="1"/>
    <col min="3" max="3" width="18" style="35" customWidth="1"/>
    <col min="4" max="4" width="22.42578125" style="32" customWidth="1"/>
    <col min="5" max="5" width="12" style="32" customWidth="1"/>
    <col min="6" max="6" width="9.85546875" style="7" customWidth="1"/>
    <col min="7" max="7" width="20.140625" style="7" customWidth="1"/>
    <col min="8" max="8" width="38.5703125" style="32" customWidth="1"/>
    <col min="9" max="9" width="23.85546875" style="34" customWidth="1"/>
    <col min="10" max="10" width="22.5703125" style="33" bestFit="1" customWidth="1"/>
    <col min="11" max="11" width="42.5703125" style="32" bestFit="1" customWidth="1"/>
    <col min="12" max="12" width="17.42578125" style="32" bestFit="1" customWidth="1"/>
    <col min="13" max="13" width="10.42578125" style="32"/>
    <col min="14" max="14" width="14.85546875" style="32" bestFit="1" customWidth="1"/>
    <col min="15" max="15" width="13.140625" style="32" bestFit="1" customWidth="1"/>
    <col min="16" max="16" width="16.140625" style="32" bestFit="1" customWidth="1"/>
    <col min="17" max="17" width="17.42578125" style="32" bestFit="1" customWidth="1"/>
    <col min="18" max="18" width="16.140625" style="32" bestFit="1" customWidth="1"/>
    <col min="19" max="16384" width="10.42578125" style="32"/>
  </cols>
  <sheetData>
    <row r="1" spans="1:11">
      <c r="A1" s="479" t="s">
        <v>6358</v>
      </c>
      <c r="B1" s="479"/>
      <c r="C1" s="479"/>
      <c r="D1" s="479"/>
      <c r="E1" s="479"/>
      <c r="F1" s="479"/>
      <c r="G1" s="479"/>
      <c r="H1" s="479"/>
      <c r="I1" s="479"/>
      <c r="J1" s="479"/>
      <c r="K1" s="479"/>
    </row>
    <row r="2" spans="1:11">
      <c r="A2" s="315"/>
      <c r="B2" s="98"/>
      <c r="C2" s="315"/>
      <c r="D2" s="315"/>
      <c r="E2" s="315"/>
      <c r="F2" s="6"/>
      <c r="G2" s="6"/>
      <c r="H2" s="315"/>
      <c r="I2" s="97"/>
      <c r="J2" s="96"/>
      <c r="K2" s="315"/>
    </row>
    <row r="3" spans="1:11">
      <c r="A3" s="480" t="s">
        <v>185</v>
      </c>
      <c r="B3" s="480"/>
      <c r="C3" s="480"/>
      <c r="D3" s="480"/>
      <c r="E3" s="480"/>
      <c r="F3" s="480"/>
      <c r="G3" s="480"/>
      <c r="H3" s="480"/>
      <c r="I3" s="480"/>
      <c r="J3" s="480"/>
      <c r="K3" s="92"/>
    </row>
    <row r="4" spans="1:11">
      <c r="A4" s="92"/>
      <c r="B4" s="92"/>
      <c r="C4" s="92"/>
      <c r="D4" s="92"/>
      <c r="E4" s="92"/>
      <c r="F4" s="92"/>
      <c r="G4" s="92"/>
      <c r="H4" s="92"/>
      <c r="I4" s="95"/>
      <c r="J4" s="87"/>
      <c r="K4" s="92"/>
    </row>
    <row r="5" spans="1:11">
      <c r="A5" s="481" t="s">
        <v>186</v>
      </c>
      <c r="B5" s="481"/>
      <c r="C5" s="481"/>
      <c r="D5" s="481"/>
      <c r="E5" s="481"/>
      <c r="F5" s="481"/>
      <c r="G5" s="481"/>
      <c r="H5" s="481"/>
      <c r="I5" s="481"/>
      <c r="J5" s="481"/>
      <c r="K5" s="481"/>
    </row>
    <row r="6" spans="1:11">
      <c r="A6" s="66"/>
      <c r="B6" s="69"/>
      <c r="C6" s="66"/>
      <c r="D6" s="66"/>
      <c r="E6" s="66"/>
      <c r="F6" s="314"/>
      <c r="G6" s="314"/>
      <c r="H6" s="66"/>
      <c r="I6" s="68"/>
      <c r="J6" s="67"/>
      <c r="K6" s="66"/>
    </row>
    <row r="7" spans="1:11">
      <c r="A7" s="70" t="s">
        <v>190</v>
      </c>
      <c r="B7" s="69"/>
      <c r="C7" s="66" t="s">
        <v>254</v>
      </c>
      <c r="D7" s="66" t="s">
        <v>21</v>
      </c>
      <c r="E7" s="478" t="s">
        <v>192</v>
      </c>
      <c r="F7" s="478"/>
      <c r="G7" s="478"/>
      <c r="H7" s="67" t="s">
        <v>191</v>
      </c>
      <c r="I7" s="68" t="s">
        <v>27</v>
      </c>
      <c r="J7" s="67" t="s">
        <v>255</v>
      </c>
      <c r="K7" s="66" t="s">
        <v>256</v>
      </c>
    </row>
    <row r="8" spans="1:11" hidden="1" outlineLevel="1">
      <c r="B8" s="36" t="s">
        <v>257</v>
      </c>
      <c r="C8" s="35">
        <v>1300100000</v>
      </c>
      <c r="D8" s="33">
        <v>700020</v>
      </c>
      <c r="E8" s="33"/>
      <c r="H8" s="33" t="s">
        <v>258</v>
      </c>
      <c r="J8" s="48"/>
      <c r="K8" s="166"/>
    </row>
    <row r="9" spans="1:11" hidden="1" outlineLevel="1">
      <c r="B9" s="36" t="s">
        <v>259</v>
      </c>
      <c r="C9" s="35">
        <v>1300100000</v>
      </c>
      <c r="D9" s="33">
        <v>701020</v>
      </c>
      <c r="E9" s="33"/>
      <c r="H9" s="33" t="s">
        <v>258</v>
      </c>
      <c r="J9" s="61"/>
      <c r="K9" s="166"/>
    </row>
    <row r="10" spans="1:11" hidden="1" outlineLevel="1">
      <c r="B10" s="36" t="s">
        <v>319</v>
      </c>
      <c r="C10" s="35">
        <v>1300100000</v>
      </c>
      <c r="D10" s="33">
        <v>702000</v>
      </c>
      <c r="E10" s="33"/>
      <c r="H10" s="33" t="s">
        <v>258</v>
      </c>
      <c r="J10" s="48"/>
      <c r="K10" s="60"/>
    </row>
    <row r="11" spans="1:11" hidden="1" outlineLevel="1">
      <c r="B11" s="36" t="s">
        <v>260</v>
      </c>
      <c r="C11" s="35">
        <v>1400100000</v>
      </c>
      <c r="D11" s="33">
        <v>703000</v>
      </c>
      <c r="E11" s="33"/>
      <c r="H11" s="33" t="s">
        <v>258</v>
      </c>
    </row>
    <row r="12" spans="1:11" hidden="1" outlineLevel="1">
      <c r="B12" s="36" t="s">
        <v>261</v>
      </c>
      <c r="C12" s="35">
        <v>1300100000</v>
      </c>
      <c r="D12" s="33">
        <v>704000</v>
      </c>
      <c r="E12" s="33"/>
      <c r="F12" s="10"/>
      <c r="G12" s="10"/>
      <c r="H12" s="33" t="s">
        <v>258</v>
      </c>
      <c r="J12" s="48"/>
      <c r="K12" s="54"/>
    </row>
    <row r="13" spans="1:11" hidden="1" outlineLevel="1">
      <c r="B13" s="36" t="s">
        <v>262</v>
      </c>
      <c r="C13" s="35">
        <v>1300100000</v>
      </c>
      <c r="D13" s="35">
        <v>705000</v>
      </c>
      <c r="E13" s="33"/>
      <c r="H13" s="33" t="s">
        <v>258</v>
      </c>
      <c r="J13" s="48"/>
      <c r="K13" s="65"/>
    </row>
    <row r="14" spans="1:11" collapsed="1">
      <c r="A14" s="50" t="s">
        <v>263</v>
      </c>
      <c r="C14" s="51" t="s">
        <v>203</v>
      </c>
      <c r="D14" s="75" t="s">
        <v>203</v>
      </c>
      <c r="E14" s="75"/>
      <c r="F14" s="8"/>
      <c r="G14" s="11">
        <v>-11658000</v>
      </c>
      <c r="H14" s="75" t="s">
        <v>258</v>
      </c>
      <c r="I14" s="34">
        <f>SUM(I8:I13)</f>
        <v>0</v>
      </c>
      <c r="J14" s="48"/>
      <c r="K14" s="57"/>
    </row>
    <row r="15" spans="1:11">
      <c r="A15" s="76"/>
      <c r="B15" s="82"/>
      <c r="C15" s="80"/>
      <c r="D15" s="77"/>
      <c r="E15" s="77"/>
      <c r="F15" s="9"/>
      <c r="G15" s="9"/>
      <c r="H15" s="77"/>
      <c r="I15" s="78"/>
      <c r="J15" s="77"/>
      <c r="K15" s="76"/>
    </row>
    <row r="16" spans="1:11">
      <c r="A16" s="59" t="s">
        <v>264</v>
      </c>
      <c r="C16" s="51">
        <v>1300100000</v>
      </c>
      <c r="D16" s="75">
        <v>710020</v>
      </c>
      <c r="E16" s="75"/>
      <c r="F16" s="50"/>
      <c r="G16" s="11">
        <v>-5061000</v>
      </c>
      <c r="H16" s="89">
        <v>46185</v>
      </c>
      <c r="I16" s="93">
        <v>-3713181.59</v>
      </c>
      <c r="J16" s="48">
        <v>46202</v>
      </c>
      <c r="K16" s="54" t="s">
        <v>6644</v>
      </c>
    </row>
    <row r="17" spans="1:11">
      <c r="A17" s="76"/>
      <c r="B17" s="82"/>
      <c r="C17" s="80"/>
      <c r="D17" s="77"/>
      <c r="E17" s="77"/>
      <c r="F17" s="9"/>
      <c r="G17" s="9"/>
      <c r="H17" s="94"/>
      <c r="I17" s="78"/>
      <c r="J17" s="77"/>
      <c r="K17" s="76"/>
    </row>
    <row r="18" spans="1:11" hidden="1" outlineLevel="1">
      <c r="B18" s="36" t="s">
        <v>265</v>
      </c>
      <c r="C18" s="35">
        <v>1200200000</v>
      </c>
      <c r="D18" s="33">
        <v>712000</v>
      </c>
      <c r="E18" s="33"/>
      <c r="G18" s="10"/>
      <c r="H18" s="48" t="s">
        <v>195</v>
      </c>
      <c r="I18" s="17"/>
      <c r="J18" s="48"/>
      <c r="K18" s="49"/>
    </row>
    <row r="19" spans="1:11" hidden="1" outlineLevel="1">
      <c r="B19" s="36" t="s">
        <v>266</v>
      </c>
      <c r="C19" s="35">
        <v>1300100000</v>
      </c>
      <c r="D19" s="33">
        <v>714000</v>
      </c>
      <c r="E19" s="33"/>
      <c r="G19" s="10"/>
      <c r="H19" s="48" t="s">
        <v>195</v>
      </c>
      <c r="I19" s="17"/>
    </row>
    <row r="20" spans="1:11" hidden="1" outlineLevel="1">
      <c r="B20" s="36" t="s">
        <v>267</v>
      </c>
      <c r="C20" s="35">
        <v>1400100000</v>
      </c>
      <c r="D20" s="33">
        <v>713000</v>
      </c>
      <c r="E20" s="33"/>
      <c r="F20" s="10"/>
      <c r="G20" s="10"/>
      <c r="H20" s="48" t="s">
        <v>195</v>
      </c>
      <c r="I20" s="93"/>
      <c r="J20" s="48"/>
      <c r="K20" s="54"/>
    </row>
    <row r="21" spans="1:11" hidden="1" outlineLevel="1">
      <c r="B21" s="36" t="s">
        <v>268</v>
      </c>
      <c r="C21" s="35">
        <v>1400100000</v>
      </c>
      <c r="D21" s="33">
        <v>715040</v>
      </c>
      <c r="E21" s="33"/>
      <c r="G21" s="10"/>
      <c r="H21" s="48" t="s">
        <v>195</v>
      </c>
      <c r="I21" s="17"/>
      <c r="J21" s="48"/>
      <c r="K21" s="57"/>
    </row>
    <row r="22" spans="1:11" hidden="1" outlineLevel="1">
      <c r="B22" s="36" t="s">
        <v>318</v>
      </c>
      <c r="C22" s="35">
        <v>1300100000</v>
      </c>
      <c r="D22" s="33">
        <v>715070</v>
      </c>
      <c r="E22" s="33"/>
      <c r="F22" s="10"/>
      <c r="G22" s="10"/>
      <c r="H22" s="48" t="s">
        <v>195</v>
      </c>
      <c r="I22" s="93">
        <v>-40944224.25</v>
      </c>
      <c r="J22" s="48">
        <v>46175</v>
      </c>
      <c r="K22" s="60" t="s">
        <v>6430</v>
      </c>
    </row>
    <row r="23" spans="1:11" collapsed="1">
      <c r="A23" s="50" t="s">
        <v>269</v>
      </c>
      <c r="C23" s="51" t="s">
        <v>203</v>
      </c>
      <c r="D23" s="75" t="s">
        <v>203</v>
      </c>
      <c r="E23" s="75"/>
      <c r="F23" s="11"/>
      <c r="G23" s="11">
        <v>-26451000</v>
      </c>
      <c r="H23" s="89" t="s">
        <v>195</v>
      </c>
      <c r="I23" s="17">
        <f>SUM(I18:I22)</f>
        <v>-40944224.25</v>
      </c>
      <c r="J23" s="48"/>
    </row>
    <row r="24" spans="1:11">
      <c r="A24" s="76"/>
      <c r="B24" s="82"/>
      <c r="C24" s="80"/>
      <c r="D24" s="77"/>
      <c r="E24" s="77"/>
      <c r="F24" s="9"/>
      <c r="G24" s="9"/>
      <c r="H24" s="94"/>
      <c r="I24" s="78"/>
      <c r="J24" s="77"/>
      <c r="K24" s="76"/>
    </row>
    <row r="25" spans="1:11" hidden="1" outlineLevel="1">
      <c r="B25" s="36" t="s">
        <v>316</v>
      </c>
      <c r="C25" s="35">
        <v>1000100000</v>
      </c>
      <c r="D25" s="33">
        <v>725020</v>
      </c>
      <c r="E25" s="33"/>
      <c r="F25" s="10"/>
      <c r="G25" s="19"/>
      <c r="H25" s="48" t="s">
        <v>327</v>
      </c>
      <c r="J25" s="48"/>
      <c r="K25" s="60"/>
    </row>
    <row r="26" spans="1:11" hidden="1" outlineLevel="1">
      <c r="B26" s="55" t="s">
        <v>317</v>
      </c>
      <c r="C26" s="35" t="s">
        <v>203</v>
      </c>
      <c r="D26" s="87" t="s">
        <v>203</v>
      </c>
      <c r="E26" s="87"/>
      <c r="F26" s="10"/>
      <c r="G26" s="93"/>
      <c r="H26" s="33" t="s">
        <v>195</v>
      </c>
      <c r="I26" s="34">
        <v>-1000</v>
      </c>
      <c r="J26" s="61">
        <v>46204</v>
      </c>
      <c r="K26" s="60" t="s">
        <v>6690</v>
      </c>
    </row>
    <row r="27" spans="1:11" collapsed="1">
      <c r="A27" s="50" t="s">
        <v>270</v>
      </c>
      <c r="C27" s="51" t="s">
        <v>203</v>
      </c>
      <c r="D27" s="75" t="s">
        <v>203</v>
      </c>
      <c r="E27" s="75"/>
      <c r="F27" s="11"/>
      <c r="G27" s="11">
        <v>-1523000</v>
      </c>
      <c r="H27" s="89" t="s">
        <v>195</v>
      </c>
      <c r="I27" s="34">
        <f>SUM(I25:I26)</f>
        <v>-1000</v>
      </c>
    </row>
    <row r="28" spans="1:11">
      <c r="A28" s="76"/>
      <c r="B28" s="82"/>
      <c r="C28" s="80"/>
      <c r="D28" s="77"/>
      <c r="E28" s="77"/>
      <c r="F28" s="9"/>
      <c r="G28" s="9"/>
      <c r="H28" s="94"/>
      <c r="I28" s="78"/>
      <c r="J28" s="77"/>
      <c r="K28" s="76"/>
    </row>
    <row r="29" spans="1:11" hidden="1" outlineLevel="1">
      <c r="B29" s="36" t="s">
        <v>193</v>
      </c>
      <c r="C29" s="35">
        <v>1100900000</v>
      </c>
      <c r="D29" s="33" t="s">
        <v>194</v>
      </c>
      <c r="E29" s="33"/>
      <c r="H29" s="33" t="s">
        <v>271</v>
      </c>
      <c r="J29" s="48"/>
      <c r="K29" s="57"/>
    </row>
    <row r="30" spans="1:11" hidden="1" outlineLevel="1">
      <c r="B30" s="55" t="s">
        <v>196</v>
      </c>
      <c r="C30" s="35" t="s">
        <v>203</v>
      </c>
      <c r="D30" s="33" t="s">
        <v>197</v>
      </c>
      <c r="E30" s="33"/>
      <c r="H30" s="33" t="s">
        <v>195</v>
      </c>
      <c r="J30" s="48"/>
      <c r="K30" s="57"/>
    </row>
    <row r="31" spans="1:11" hidden="1" outlineLevel="1">
      <c r="B31" s="55" t="s">
        <v>198</v>
      </c>
      <c r="C31" s="35">
        <v>1100900000</v>
      </c>
      <c r="D31" s="87">
        <v>731200</v>
      </c>
      <c r="E31" s="87"/>
      <c r="F31" s="10"/>
      <c r="G31" s="93"/>
      <c r="H31" s="89">
        <v>46185</v>
      </c>
      <c r="J31" s="48"/>
      <c r="K31" s="54"/>
    </row>
    <row r="32" spans="1:11" hidden="1" outlineLevel="1">
      <c r="B32" s="55" t="s">
        <v>199</v>
      </c>
      <c r="C32" s="35" t="s">
        <v>203</v>
      </c>
      <c r="D32" s="87" t="s">
        <v>200</v>
      </c>
      <c r="E32" s="87"/>
      <c r="H32" s="33" t="s">
        <v>195</v>
      </c>
      <c r="I32" s="17">
        <f>-8290-590</f>
        <v>-8880</v>
      </c>
      <c r="J32" s="48" t="s">
        <v>6702</v>
      </c>
      <c r="K32" s="166" t="s">
        <v>6703</v>
      </c>
    </row>
    <row r="33" spans="1:21" hidden="1" outlineLevel="1">
      <c r="B33" s="10" t="s">
        <v>272</v>
      </c>
      <c r="C33" s="35">
        <v>1400100000</v>
      </c>
      <c r="D33" s="87" t="s">
        <v>201</v>
      </c>
      <c r="E33" s="87"/>
      <c r="F33" s="10"/>
      <c r="G33" s="10"/>
      <c r="H33" s="33" t="s">
        <v>273</v>
      </c>
      <c r="J33" s="48"/>
      <c r="K33" s="54"/>
    </row>
    <row r="34" spans="1:21" hidden="1" outlineLevel="1">
      <c r="B34" s="55" t="s">
        <v>252</v>
      </c>
      <c r="C34" s="35">
        <v>1103800000</v>
      </c>
      <c r="D34" s="87">
        <v>733030</v>
      </c>
      <c r="E34" s="87"/>
      <c r="F34" s="93"/>
      <c r="G34" s="10"/>
      <c r="H34" s="33" t="s">
        <v>274</v>
      </c>
      <c r="J34" s="48"/>
      <c r="K34" s="54"/>
      <c r="L34" s="48"/>
    </row>
    <row r="35" spans="1:21" collapsed="1">
      <c r="A35" s="59" t="s">
        <v>275</v>
      </c>
      <c r="B35" s="55"/>
      <c r="C35" s="51" t="s">
        <v>203</v>
      </c>
      <c r="D35" s="75" t="s">
        <v>203</v>
      </c>
      <c r="E35" s="75"/>
      <c r="F35" s="8"/>
      <c r="G35" s="11">
        <v>-1474000</v>
      </c>
      <c r="H35" s="89" t="s">
        <v>195</v>
      </c>
      <c r="I35" s="17">
        <f>SUM(I29:I34)</f>
        <v>-8880</v>
      </c>
      <c r="J35" s="48"/>
      <c r="K35" s="54"/>
    </row>
    <row r="36" spans="1:21">
      <c r="A36" s="86"/>
      <c r="B36" s="91"/>
      <c r="C36" s="80"/>
      <c r="D36" s="90"/>
      <c r="E36" s="90"/>
      <c r="F36" s="9"/>
      <c r="G36" s="9"/>
      <c r="H36" s="77"/>
      <c r="I36" s="78"/>
      <c r="J36" s="77"/>
      <c r="K36" s="76"/>
    </row>
    <row r="37" spans="1:21" hidden="1" outlineLevel="1">
      <c r="B37" s="92" t="s">
        <v>276</v>
      </c>
      <c r="C37" s="35" t="s">
        <v>203</v>
      </c>
      <c r="D37" s="87" t="s">
        <v>203</v>
      </c>
      <c r="E37" s="87"/>
      <c r="F37" s="10"/>
      <c r="G37" s="10"/>
      <c r="H37" s="33" t="s">
        <v>195</v>
      </c>
      <c r="I37" s="93">
        <f>-1154094.02-20200261.9-11799427.02</f>
        <v>-33153782.939999998</v>
      </c>
      <c r="J37" s="48" t="s">
        <v>6905</v>
      </c>
      <c r="K37" s="60" t="s">
        <v>6900</v>
      </c>
      <c r="L37" s="48"/>
    </row>
    <row r="38" spans="1:21" hidden="1" outlineLevel="1">
      <c r="B38" s="92" t="s">
        <v>277</v>
      </c>
      <c r="C38" s="35" t="s">
        <v>203</v>
      </c>
      <c r="D38" s="87" t="s">
        <v>203</v>
      </c>
      <c r="E38" s="87"/>
      <c r="F38" s="10"/>
      <c r="G38" s="10"/>
      <c r="H38" s="33" t="s">
        <v>195</v>
      </c>
      <c r="I38" s="34">
        <v>-7.14</v>
      </c>
      <c r="J38" s="48">
        <v>46204</v>
      </c>
      <c r="K38" s="166" t="s">
        <v>6693</v>
      </c>
      <c r="M38" s="4"/>
      <c r="N38" s="20"/>
      <c r="O38" s="4"/>
      <c r="P38" s="4"/>
      <c r="Q38" s="4"/>
      <c r="R38" s="4"/>
      <c r="S38" s="4"/>
      <c r="T38"/>
      <c r="U38" s="352"/>
    </row>
    <row r="39" spans="1:21" collapsed="1">
      <c r="A39" s="59" t="s">
        <v>278</v>
      </c>
      <c r="B39" s="55"/>
      <c r="C39" s="51" t="s">
        <v>203</v>
      </c>
      <c r="D39" s="75" t="s">
        <v>203</v>
      </c>
      <c r="E39" s="75"/>
      <c r="F39" s="10"/>
      <c r="G39" s="11">
        <v>-1741000</v>
      </c>
      <c r="H39" s="89" t="s">
        <v>195</v>
      </c>
      <c r="I39" s="17">
        <f>SUM(I37:I38)</f>
        <v>-33153790.079999998</v>
      </c>
      <c r="M39" s="4"/>
      <c r="N39" s="20"/>
      <c r="O39" s="4"/>
      <c r="P39" s="4"/>
      <c r="Q39" s="4"/>
      <c r="R39" s="4"/>
      <c r="S39" s="4"/>
      <c r="T39"/>
      <c r="U39" s="18"/>
    </row>
    <row r="40" spans="1:21">
      <c r="A40" s="86"/>
      <c r="B40" s="91"/>
      <c r="C40" s="80"/>
      <c r="D40" s="90"/>
      <c r="E40" s="90"/>
      <c r="F40" s="9"/>
      <c r="G40" s="9"/>
      <c r="H40" s="77"/>
      <c r="I40" s="78"/>
      <c r="J40" s="77"/>
      <c r="K40" s="76"/>
    </row>
    <row r="41" spans="1:21" hidden="1" outlineLevel="1">
      <c r="B41" s="55" t="s">
        <v>279</v>
      </c>
      <c r="C41" s="35">
        <v>1300100000</v>
      </c>
      <c r="D41" s="87">
        <v>750200</v>
      </c>
      <c r="G41" s="88"/>
      <c r="H41" s="33" t="s">
        <v>2819</v>
      </c>
      <c r="I41" s="34">
        <f>-208105718</f>
        <v>-208105718</v>
      </c>
      <c r="J41" s="48">
        <v>46188</v>
      </c>
      <c r="K41" s="65" t="s">
        <v>6546</v>
      </c>
    </row>
    <row r="42" spans="1:21" hidden="1" outlineLevel="1">
      <c r="B42" s="55" t="s">
        <v>315</v>
      </c>
      <c r="C42" s="35" t="s">
        <v>203</v>
      </c>
      <c r="D42" s="87">
        <v>755120</v>
      </c>
      <c r="F42" s="10"/>
      <c r="G42" s="88"/>
      <c r="H42" s="89">
        <v>46199</v>
      </c>
      <c r="I42" s="34">
        <v>-23476930.850000001</v>
      </c>
      <c r="J42" s="48">
        <v>46203</v>
      </c>
      <c r="K42" s="60" t="s">
        <v>6660</v>
      </c>
    </row>
    <row r="43" spans="1:21" hidden="1" outlineLevel="1">
      <c r="B43" s="55" t="s">
        <v>202</v>
      </c>
      <c r="D43" s="87"/>
      <c r="F43" s="10"/>
      <c r="G43" s="88"/>
      <c r="H43" s="89" t="s">
        <v>195</v>
      </c>
      <c r="J43" s="48"/>
      <c r="K43" s="60"/>
    </row>
    <row r="44" spans="1:21" hidden="1" outlineLevel="2">
      <c r="B44" s="55" t="s">
        <v>280</v>
      </c>
      <c r="D44" s="87">
        <v>751000</v>
      </c>
      <c r="E44" s="10"/>
      <c r="F44" s="10"/>
      <c r="G44" s="88"/>
      <c r="H44" s="33" t="s">
        <v>195</v>
      </c>
      <c r="J44" s="48"/>
      <c r="K44" s="166"/>
    </row>
    <row r="45" spans="1:21" hidden="1" outlineLevel="2">
      <c r="B45" s="55" t="s">
        <v>281</v>
      </c>
      <c r="D45" s="87">
        <v>750920</v>
      </c>
      <c r="E45" s="10"/>
      <c r="F45" s="10"/>
      <c r="G45" s="88"/>
      <c r="H45" s="33" t="s">
        <v>195</v>
      </c>
      <c r="J45" s="48"/>
      <c r="K45" s="60"/>
    </row>
    <row r="46" spans="1:21" hidden="1" outlineLevel="2">
      <c r="B46" s="55" t="s">
        <v>282</v>
      </c>
      <c r="D46" s="87">
        <v>751040</v>
      </c>
      <c r="E46" s="10"/>
      <c r="F46" s="10"/>
      <c r="G46" s="88"/>
      <c r="H46" s="89">
        <v>46185</v>
      </c>
      <c r="J46" s="48"/>
      <c r="K46" s="60"/>
      <c r="N46" s="4"/>
      <c r="O46" s="16"/>
      <c r="P46" s="17"/>
      <c r="Q46" s="17"/>
      <c r="R46" s="17"/>
    </row>
    <row r="47" spans="1:21" hidden="1" outlineLevel="2">
      <c r="B47" s="55" t="s">
        <v>283</v>
      </c>
      <c r="D47" s="87">
        <v>751020</v>
      </c>
      <c r="E47" s="10"/>
      <c r="F47" s="10"/>
      <c r="G47" s="88"/>
      <c r="H47" s="33" t="s">
        <v>195</v>
      </c>
      <c r="J47" s="156"/>
      <c r="K47" s="60"/>
      <c r="N47" s="4"/>
      <c r="O47" s="16"/>
      <c r="P47" s="17"/>
      <c r="Q47" s="17"/>
      <c r="R47" s="17"/>
    </row>
    <row r="48" spans="1:21" hidden="1" outlineLevel="2">
      <c r="B48" s="55" t="s">
        <v>284</v>
      </c>
      <c r="D48" s="87">
        <v>750960</v>
      </c>
      <c r="E48" s="10"/>
      <c r="F48" s="10"/>
      <c r="G48" s="88"/>
      <c r="H48" s="33" t="s">
        <v>195</v>
      </c>
      <c r="N48" s="4"/>
      <c r="O48" s="16"/>
      <c r="P48" s="17"/>
      <c r="Q48" s="17"/>
      <c r="R48" s="17"/>
    </row>
    <row r="49" spans="1:17" hidden="1" outlineLevel="2">
      <c r="B49" s="55" t="s">
        <v>285</v>
      </c>
      <c r="D49" s="87">
        <v>750980</v>
      </c>
      <c r="E49" s="10"/>
      <c r="F49" s="10"/>
      <c r="G49" s="88"/>
      <c r="H49" s="33" t="s">
        <v>195</v>
      </c>
      <c r="J49" s="48"/>
      <c r="K49" s="60"/>
      <c r="P49" s="34"/>
      <c r="Q49" s="34"/>
    </row>
    <row r="50" spans="1:17" hidden="1" outlineLevel="1">
      <c r="B50" s="55" t="s">
        <v>204</v>
      </c>
      <c r="D50" s="87"/>
      <c r="E50" s="10"/>
      <c r="F50" s="10"/>
      <c r="G50" s="88"/>
      <c r="H50" s="89">
        <v>46185</v>
      </c>
      <c r="J50" s="48"/>
      <c r="K50" s="54"/>
    </row>
    <row r="51" spans="1:17" hidden="1" outlineLevel="2">
      <c r="B51" s="55" t="s">
        <v>286</v>
      </c>
      <c r="C51" s="35">
        <v>5100100000</v>
      </c>
      <c r="D51" s="87">
        <v>750300</v>
      </c>
      <c r="E51" s="10"/>
      <c r="F51" s="10"/>
      <c r="G51" s="88"/>
      <c r="H51" s="89">
        <v>46185</v>
      </c>
      <c r="J51" s="61"/>
      <c r="K51" s="60"/>
    </row>
    <row r="52" spans="1:17" hidden="1" outlineLevel="2">
      <c r="B52" s="55" t="s">
        <v>287</v>
      </c>
      <c r="C52" s="35">
        <v>5100100000</v>
      </c>
      <c r="D52" s="87">
        <v>750700</v>
      </c>
      <c r="E52" s="10"/>
      <c r="F52" s="10"/>
      <c r="G52" s="88"/>
      <c r="H52" s="89">
        <v>46185</v>
      </c>
      <c r="J52" s="61"/>
      <c r="K52" s="60"/>
    </row>
    <row r="53" spans="1:17" hidden="1" outlineLevel="2">
      <c r="B53" s="55" t="s">
        <v>288</v>
      </c>
      <c r="C53" s="35">
        <v>2300100000</v>
      </c>
      <c r="D53" s="87">
        <v>750320</v>
      </c>
      <c r="E53" s="10"/>
      <c r="F53" s="10"/>
      <c r="G53" s="88"/>
      <c r="H53" s="48" t="s">
        <v>328</v>
      </c>
      <c r="J53" s="61"/>
      <c r="K53" s="60"/>
    </row>
    <row r="54" spans="1:17" hidden="1" outlineLevel="1">
      <c r="B54" s="55" t="s">
        <v>205</v>
      </c>
      <c r="D54" s="87"/>
      <c r="E54" s="10"/>
      <c r="F54" s="10"/>
      <c r="G54" s="88"/>
      <c r="H54" s="48"/>
      <c r="J54" s="61"/>
      <c r="K54" s="54"/>
    </row>
    <row r="55" spans="1:17" hidden="1" outlineLevel="2">
      <c r="B55" s="55" t="s">
        <v>289</v>
      </c>
      <c r="D55" s="87">
        <v>755900</v>
      </c>
      <c r="E55" s="10"/>
      <c r="F55" s="10"/>
      <c r="G55" s="88"/>
      <c r="H55" s="33" t="s">
        <v>195</v>
      </c>
      <c r="I55" s="34">
        <f>-2513210-8389090.15-1667372.32-1811342.46-5982831-5978265-4334425.52-3501960-1139654.82-2995352.95-9887493</f>
        <v>-48200997.220000006</v>
      </c>
      <c r="J55" s="48" t="s">
        <v>6867</v>
      </c>
      <c r="K55" s="65" t="s">
        <v>6868</v>
      </c>
    </row>
    <row r="56" spans="1:17" hidden="1" outlineLevel="2">
      <c r="B56" s="55" t="s">
        <v>290</v>
      </c>
      <c r="D56" s="87">
        <v>750250</v>
      </c>
      <c r="E56" s="10"/>
      <c r="F56" s="10"/>
      <c r="G56" s="88"/>
      <c r="H56" s="89">
        <v>46199</v>
      </c>
      <c r="I56" s="34">
        <v>-494151.59</v>
      </c>
      <c r="J56" s="48">
        <v>46202</v>
      </c>
      <c r="K56" s="54" t="s">
        <v>6644</v>
      </c>
    </row>
    <row r="57" spans="1:17" hidden="1" outlineLevel="2">
      <c r="B57" s="55" t="s">
        <v>291</v>
      </c>
      <c r="D57" s="87">
        <v>750740</v>
      </c>
      <c r="E57" s="10"/>
      <c r="F57" s="10"/>
      <c r="G57" s="88"/>
      <c r="H57" s="89">
        <v>46199</v>
      </c>
      <c r="I57" s="34">
        <f>-10820891.86-4962452-4959331</f>
        <v>-20742674.859999999</v>
      </c>
      <c r="J57" s="48" t="s">
        <v>6780</v>
      </c>
      <c r="K57" s="65" t="s">
        <v>6781</v>
      </c>
    </row>
    <row r="58" spans="1:17" hidden="1" outlineLevel="2">
      <c r="B58" s="55" t="s">
        <v>292</v>
      </c>
      <c r="D58" s="87">
        <v>751500</v>
      </c>
      <c r="E58" s="10"/>
      <c r="F58" s="10"/>
      <c r="G58" s="88"/>
      <c r="H58" s="89">
        <v>46199</v>
      </c>
      <c r="I58" s="34">
        <v>-538471.06999999995</v>
      </c>
      <c r="J58" s="48">
        <v>46203</v>
      </c>
      <c r="K58" s="60" t="s">
        <v>6664</v>
      </c>
    </row>
    <row r="59" spans="1:17" hidden="1" outlineLevel="2">
      <c r="B59" s="55" t="s">
        <v>293</v>
      </c>
      <c r="D59" s="87">
        <v>750900</v>
      </c>
      <c r="E59" s="10"/>
      <c r="F59" s="10"/>
      <c r="G59" s="88"/>
      <c r="H59" s="89">
        <v>46199</v>
      </c>
      <c r="I59" s="34">
        <f>-1866515-3348859.09</f>
        <v>-5215374.09</v>
      </c>
      <c r="J59" s="61" t="s">
        <v>6681</v>
      </c>
      <c r="K59" s="60" t="s">
        <v>6682</v>
      </c>
      <c r="L59" s="347"/>
    </row>
    <row r="60" spans="1:17" hidden="1" outlineLevel="1">
      <c r="B60" s="55" t="s">
        <v>206</v>
      </c>
      <c r="D60" s="87" t="s">
        <v>203</v>
      </c>
      <c r="E60" s="10"/>
      <c r="F60" s="10"/>
      <c r="G60"/>
      <c r="H60" s="33" t="s">
        <v>195</v>
      </c>
      <c r="I60" s="34">
        <f>-1999254.6-1162440.99-49038.28-3659441.5-1384559.88-3400482.93</f>
        <v>-11655218.18</v>
      </c>
      <c r="J60" s="61" t="s">
        <v>6873</v>
      </c>
      <c r="K60" s="364" t="s">
        <v>6874</v>
      </c>
    </row>
    <row r="61" spans="1:17" collapsed="1">
      <c r="A61" s="59" t="s">
        <v>294</v>
      </c>
      <c r="C61" s="51" t="s">
        <v>203</v>
      </c>
      <c r="D61" s="75" t="s">
        <v>203</v>
      </c>
      <c r="E61" s="7"/>
      <c r="F61" s="32"/>
      <c r="G61" s="11">
        <v>-279392000</v>
      </c>
      <c r="H61" s="75"/>
      <c r="I61" s="34">
        <f>SUM(I41:I60)</f>
        <v>-318429535.85999995</v>
      </c>
      <c r="J61" s="61"/>
      <c r="K61" s="60"/>
    </row>
    <row r="62" spans="1:17">
      <c r="A62" s="76"/>
      <c r="B62" s="82"/>
      <c r="C62" s="80"/>
      <c r="D62" s="76"/>
      <c r="E62" s="76"/>
      <c r="F62" s="9"/>
      <c r="G62" s="9"/>
      <c r="H62" s="77"/>
      <c r="I62" s="78"/>
      <c r="J62" s="77"/>
      <c r="K62" s="76"/>
    </row>
    <row r="63" spans="1:17" hidden="1" outlineLevel="1">
      <c r="B63" s="55" t="s">
        <v>204</v>
      </c>
      <c r="D63" s="87"/>
      <c r="E63" s="87"/>
      <c r="H63" s="33"/>
    </row>
    <row r="64" spans="1:17" hidden="1" outlineLevel="2">
      <c r="B64" s="55" t="s">
        <v>295</v>
      </c>
      <c r="C64" s="35">
        <v>5100100000</v>
      </c>
      <c r="D64" s="87">
        <v>760000</v>
      </c>
      <c r="E64" s="10"/>
      <c r="F64" s="32"/>
      <c r="H64" s="89">
        <v>46185</v>
      </c>
      <c r="J64" s="48"/>
      <c r="K64" s="54"/>
      <c r="L64" s="17"/>
      <c r="N64" s="88"/>
    </row>
    <row r="65" spans="1:14" hidden="1" outlineLevel="2">
      <c r="B65" s="55" t="s">
        <v>296</v>
      </c>
      <c r="C65" s="35">
        <v>5100100000</v>
      </c>
      <c r="D65" s="87">
        <v>761000</v>
      </c>
      <c r="E65" s="10"/>
      <c r="F65" s="32"/>
      <c r="H65" s="89">
        <v>46185</v>
      </c>
      <c r="J65" s="48"/>
      <c r="K65" s="54"/>
      <c r="N65" s="88"/>
    </row>
    <row r="66" spans="1:14" hidden="1" outlineLevel="2">
      <c r="B66" s="55" t="s">
        <v>297</v>
      </c>
      <c r="C66" s="35">
        <v>2300100000</v>
      </c>
      <c r="D66" s="87">
        <v>761020</v>
      </c>
      <c r="E66" s="10"/>
      <c r="F66" s="32"/>
      <c r="G66" s="10"/>
      <c r="H66" s="48" t="s">
        <v>328</v>
      </c>
      <c r="I66" s="34">
        <f>-3623236</f>
        <v>-3623236</v>
      </c>
      <c r="J66" s="61">
        <v>46184</v>
      </c>
      <c r="K66" s="60" t="s">
        <v>6528</v>
      </c>
      <c r="L66" s="60"/>
    </row>
    <row r="67" spans="1:14" hidden="1" outlineLevel="2">
      <c r="B67" s="55" t="s">
        <v>298</v>
      </c>
      <c r="C67" s="35">
        <v>2300100000</v>
      </c>
      <c r="D67" s="87">
        <v>761040</v>
      </c>
      <c r="E67" s="7"/>
      <c r="F67" s="32"/>
      <c r="H67" s="48" t="s">
        <v>328</v>
      </c>
      <c r="J67" s="61"/>
      <c r="K67" s="60"/>
      <c r="L67" s="60"/>
    </row>
    <row r="68" spans="1:14" hidden="1" outlineLevel="1">
      <c r="B68" s="55" t="s">
        <v>207</v>
      </c>
      <c r="D68" s="87" t="s">
        <v>203</v>
      </c>
      <c r="E68" s="87"/>
      <c r="F68" s="10"/>
      <c r="G68" s="10"/>
      <c r="H68" s="353" t="s">
        <v>195</v>
      </c>
      <c r="I68" s="34">
        <f>-1533053-4523019-1063618.24-17390565.29-8931544.21-1833430.7-21297715.71-16731656.41</f>
        <v>-73304602.560000002</v>
      </c>
      <c r="J68" s="48" t="s">
        <v>6721</v>
      </c>
      <c r="K68" s="364" t="s">
        <v>6722</v>
      </c>
      <c r="L68" s="60"/>
    </row>
    <row r="69" spans="1:14" collapsed="1">
      <c r="A69" s="59" t="s">
        <v>299</v>
      </c>
      <c r="B69" s="55"/>
      <c r="C69" s="51" t="s">
        <v>203</v>
      </c>
      <c r="D69" s="75" t="s">
        <v>203</v>
      </c>
      <c r="E69" s="87"/>
      <c r="G69" s="11">
        <v>-134770000</v>
      </c>
      <c r="H69" s="75"/>
      <c r="I69" s="34">
        <f>SUM(I64:I68)</f>
        <v>-76927838.560000002</v>
      </c>
      <c r="L69" s="4"/>
      <c r="M69" s="5"/>
    </row>
    <row r="70" spans="1:14">
      <c r="A70" s="76"/>
      <c r="B70" s="82"/>
      <c r="C70" s="80"/>
      <c r="D70" s="76"/>
      <c r="E70" s="76"/>
      <c r="F70" s="9"/>
      <c r="G70" s="9"/>
      <c r="H70" s="77"/>
      <c r="I70" s="78"/>
      <c r="J70" s="77"/>
      <c r="K70" s="76"/>
    </row>
    <row r="71" spans="1:14">
      <c r="A71" s="59" t="s">
        <v>300</v>
      </c>
      <c r="B71" s="55"/>
      <c r="C71" s="35">
        <v>1300100000</v>
      </c>
      <c r="D71" s="87">
        <v>781000</v>
      </c>
      <c r="E71" s="87"/>
      <c r="F71" s="10"/>
      <c r="G71" s="11">
        <v>-1749000</v>
      </c>
      <c r="H71" s="75" t="s">
        <v>330</v>
      </c>
      <c r="J71" s="48"/>
      <c r="K71" s="60"/>
    </row>
    <row r="72" spans="1:14">
      <c r="A72" s="86"/>
      <c r="B72" s="82"/>
      <c r="C72" s="80"/>
      <c r="D72" s="76"/>
      <c r="E72" s="76"/>
      <c r="F72" s="9"/>
      <c r="G72" s="9"/>
      <c r="H72" s="77"/>
      <c r="I72" s="78"/>
      <c r="J72" s="77"/>
      <c r="K72" s="76"/>
    </row>
    <row r="73" spans="1:14" hidden="1" outlineLevel="1">
      <c r="B73" s="55" t="s">
        <v>208</v>
      </c>
      <c r="D73" s="87" t="s">
        <v>209</v>
      </c>
      <c r="E73" s="87"/>
      <c r="F73" s="10"/>
      <c r="G73" s="10"/>
      <c r="H73" s="33" t="s">
        <v>195</v>
      </c>
      <c r="I73" s="93">
        <v>-719516.47</v>
      </c>
      <c r="J73" s="48">
        <v>46175</v>
      </c>
      <c r="K73" s="57" t="s">
        <v>6430</v>
      </c>
    </row>
    <row r="74" spans="1:14" hidden="1" outlineLevel="1">
      <c r="B74" s="55" t="s">
        <v>210</v>
      </c>
      <c r="D74" s="87" t="s">
        <v>211</v>
      </c>
      <c r="E74" s="87"/>
      <c r="H74" s="33" t="s">
        <v>195</v>
      </c>
      <c r="I74" s="17"/>
      <c r="J74" s="48"/>
      <c r="K74" s="57"/>
    </row>
    <row r="75" spans="1:14" hidden="1" outlineLevel="1">
      <c r="B75" s="55" t="s">
        <v>218</v>
      </c>
      <c r="D75" s="87" t="s">
        <v>219</v>
      </c>
      <c r="E75" s="87"/>
      <c r="F75" s="93"/>
      <c r="G75" s="93"/>
      <c r="H75" s="33" t="s">
        <v>195</v>
      </c>
      <c r="I75" s="34">
        <f>-6133479.33-3662252.14-3839179.95-1187559.48-1654143.93-2238110.08-2862546.77-2125937.91-8565855.86-1784912.03-2254686.88-2039360.43-6017177.08-6890252.52-5300493.96</f>
        <v>-56555948.350000001</v>
      </c>
      <c r="J75" s="61" t="s">
        <v>6835</v>
      </c>
      <c r="K75" s="364" t="s">
        <v>6836</v>
      </c>
    </row>
    <row r="76" spans="1:14" hidden="1" outlineLevel="1">
      <c r="B76" s="55" t="s">
        <v>214</v>
      </c>
      <c r="D76" s="87" t="s">
        <v>215</v>
      </c>
      <c r="E76" s="87"/>
      <c r="F76" s="10"/>
      <c r="G76" s="93"/>
      <c r="H76" s="33" t="s">
        <v>195</v>
      </c>
      <c r="I76" s="34">
        <v>-15580</v>
      </c>
      <c r="J76" s="61">
        <v>46204</v>
      </c>
      <c r="K76" s="60" t="s">
        <v>6693</v>
      </c>
    </row>
    <row r="77" spans="1:14" hidden="1" outlineLevel="1">
      <c r="B77" s="55" t="s">
        <v>216</v>
      </c>
      <c r="C77"/>
      <c r="D77" s="87" t="s">
        <v>217</v>
      </c>
      <c r="E77" s="87"/>
      <c r="F77" s="10"/>
      <c r="G77" s="10"/>
      <c r="H77" s="33" t="s">
        <v>195</v>
      </c>
      <c r="I77" s="34">
        <f>-28924046.82-9596.25+5440743</f>
        <v>-23492900.07</v>
      </c>
      <c r="J77" s="48" t="s">
        <v>6846</v>
      </c>
      <c r="K77" s="57" t="s">
        <v>6847</v>
      </c>
    </row>
    <row r="78" spans="1:14" hidden="1" outlineLevel="1">
      <c r="B78" s="36" t="s">
        <v>212</v>
      </c>
      <c r="C78" s="64"/>
      <c r="D78" s="35" t="s">
        <v>213</v>
      </c>
      <c r="E78" s="35"/>
      <c r="F78" s="10"/>
      <c r="G78" s="10"/>
      <c r="H78" s="64" t="s">
        <v>195</v>
      </c>
      <c r="I78" s="351">
        <f>-2746092.07-1447311.45-7308648.66-4510590.72-8298566.33-1557487.2-3159254.74</f>
        <v>-29027951.169999994</v>
      </c>
      <c r="J78" s="48" t="s">
        <v>6678</v>
      </c>
      <c r="K78" s="54" t="s">
        <v>6679</v>
      </c>
    </row>
    <row r="79" spans="1:14" hidden="1" outlineLevel="1">
      <c r="B79" s="55" t="s">
        <v>220</v>
      </c>
      <c r="D79" s="87" t="s">
        <v>203</v>
      </c>
      <c r="E79" s="87"/>
      <c r="F79" s="10"/>
      <c r="G79" s="93"/>
      <c r="H79" s="33" t="s">
        <v>195</v>
      </c>
      <c r="I79" s="34">
        <f>-4630-2329048-318.8-4206-774.2-2430470.26</f>
        <v>-4769447.26</v>
      </c>
      <c r="J79" s="61" t="s">
        <v>6838</v>
      </c>
      <c r="K79" s="60" t="s">
        <v>6839</v>
      </c>
    </row>
    <row r="80" spans="1:14" collapsed="1">
      <c r="A80" s="50" t="s">
        <v>301</v>
      </c>
      <c r="B80" s="55"/>
      <c r="C80" s="51" t="s">
        <v>203</v>
      </c>
      <c r="D80" s="75" t="s">
        <v>203</v>
      </c>
      <c r="E80" s="87"/>
      <c r="G80" s="11">
        <v>-136889000</v>
      </c>
      <c r="H80" s="8"/>
      <c r="I80" s="34">
        <f>SUM(I73:I79)</f>
        <v>-114581343.32000001</v>
      </c>
      <c r="J80" s="48"/>
      <c r="K80" s="49"/>
    </row>
    <row r="81" spans="1:13">
      <c r="A81" s="86"/>
      <c r="B81" s="82"/>
      <c r="C81" s="80"/>
      <c r="D81" s="76"/>
      <c r="E81" s="76"/>
      <c r="F81" s="9"/>
      <c r="G81" s="9"/>
      <c r="H81" s="77"/>
      <c r="I81" s="78"/>
      <c r="J81" s="77"/>
      <c r="K81" s="76"/>
    </row>
    <row r="82" spans="1:13" hidden="1" outlineLevel="1">
      <c r="B82" s="36" t="s">
        <v>338</v>
      </c>
      <c r="C82" s="35">
        <v>1300100000</v>
      </c>
      <c r="D82" s="33">
        <f>781242</f>
        <v>781242</v>
      </c>
      <c r="F82" s="10"/>
      <c r="G82" s="10"/>
      <c r="J82" s="48"/>
      <c r="K82" s="60"/>
    </row>
    <row r="83" spans="1:13" hidden="1" outlineLevel="1">
      <c r="B83" s="36" t="s">
        <v>4930</v>
      </c>
      <c r="C83" s="35" t="s">
        <v>203</v>
      </c>
      <c r="D83" s="33" t="s">
        <v>303</v>
      </c>
      <c r="F83" s="10"/>
      <c r="G83" s="10"/>
      <c r="I83" s="34">
        <f>-132216792.44+19028896.35-1-6006226.41-12187.5-2688106.25+5105689.6</f>
        <v>-116788727.65000001</v>
      </c>
      <c r="J83" s="61" t="s">
        <v>6844</v>
      </c>
      <c r="K83" s="60" t="s">
        <v>6845</v>
      </c>
    </row>
    <row r="84" spans="1:13" collapsed="1">
      <c r="A84" s="59" t="s">
        <v>302</v>
      </c>
      <c r="C84" s="51" t="s">
        <v>203</v>
      </c>
      <c r="D84" s="51" t="s">
        <v>303</v>
      </c>
      <c r="E84" s="35"/>
      <c r="F84" s="32"/>
      <c r="G84" s="11">
        <v>-67885000</v>
      </c>
      <c r="H84" s="75" t="s">
        <v>195</v>
      </c>
      <c r="I84" s="34" t="s">
        <v>1921</v>
      </c>
      <c r="J84" s="63"/>
      <c r="K84" s="57"/>
    </row>
    <row r="85" spans="1:13">
      <c r="A85" s="83"/>
      <c r="B85" s="82"/>
      <c r="C85" s="81"/>
      <c r="D85" s="81"/>
      <c r="E85" s="80"/>
      <c r="F85" s="76"/>
      <c r="G85" s="12"/>
      <c r="H85" s="79"/>
      <c r="I85" s="78"/>
      <c r="J85" s="77"/>
      <c r="K85" s="76"/>
    </row>
    <row r="86" spans="1:13" hidden="1" outlineLevel="2">
      <c r="A86" s="59"/>
      <c r="B86" s="36" t="s">
        <v>304</v>
      </c>
      <c r="C86" s="35">
        <v>1100100000</v>
      </c>
      <c r="D86" s="35">
        <v>790500</v>
      </c>
      <c r="H86" s="75" t="s">
        <v>305</v>
      </c>
      <c r="I86" s="34">
        <v>-2202750</v>
      </c>
      <c r="J86" s="61">
        <v>46226</v>
      </c>
      <c r="K86" s="57" t="s">
        <v>6910</v>
      </c>
      <c r="L86" s="85"/>
      <c r="M86" s="85"/>
    </row>
    <row r="87" spans="1:13" ht="15.75" hidden="1" outlineLevel="2">
      <c r="A87" s="59"/>
      <c r="B87" s="84" t="s">
        <v>306</v>
      </c>
      <c r="C87" s="35" t="s">
        <v>203</v>
      </c>
      <c r="D87" s="33">
        <v>790600</v>
      </c>
      <c r="E87" s="36"/>
      <c r="H87" s="75" t="s">
        <v>307</v>
      </c>
      <c r="I87" s="34">
        <f>-1965408.93-1676222</f>
        <v>-3641630.9299999997</v>
      </c>
      <c r="J87" s="48" t="s">
        <v>6783</v>
      </c>
      <c r="K87" s="60" t="s">
        <v>6784</v>
      </c>
    </row>
    <row r="88" spans="1:13" collapsed="1">
      <c r="A88" s="59" t="s">
        <v>308</v>
      </c>
      <c r="C88" s="51" t="s">
        <v>203</v>
      </c>
      <c r="D88" s="51" t="s">
        <v>303</v>
      </c>
      <c r="E88" s="35"/>
      <c r="F88" s="10"/>
      <c r="G88" s="11">
        <v>-11057000</v>
      </c>
      <c r="H88" s="75" t="s">
        <v>309</v>
      </c>
      <c r="I88" s="34">
        <f>SUM(I86:I87)</f>
        <v>-5844380.9299999997</v>
      </c>
      <c r="J88" s="48"/>
    </row>
    <row r="89" spans="1:13">
      <c r="A89" s="83"/>
      <c r="B89" s="82"/>
      <c r="C89" s="81"/>
      <c r="D89" s="81"/>
      <c r="E89" s="80"/>
      <c r="F89" s="9"/>
      <c r="G89" s="9"/>
      <c r="H89" s="79"/>
      <c r="I89" s="78"/>
      <c r="J89" s="77"/>
      <c r="K89" s="76"/>
    </row>
    <row r="90" spans="1:13">
      <c r="A90" s="59"/>
      <c r="C90" s="51"/>
      <c r="D90" s="51"/>
      <c r="E90" s="35"/>
      <c r="H90" s="75"/>
    </row>
    <row r="91" spans="1:13">
      <c r="A91" s="71" t="s">
        <v>187</v>
      </c>
      <c r="B91" s="74"/>
      <c r="C91" s="316"/>
      <c r="D91" s="71"/>
      <c r="E91" s="71"/>
      <c r="F91" s="71"/>
      <c r="G91" s="13">
        <f>SUM(G8:G90)</f>
        <v>-679650000</v>
      </c>
      <c r="H91" s="71"/>
      <c r="I91" s="73" t="e">
        <f>SUM(I88+I84+I80+I71+I69+I61+I39+I35+I27+I23+I16+I14)</f>
        <v>#VALUE!</v>
      </c>
      <c r="J91" s="72"/>
      <c r="K91" s="71"/>
    </row>
    <row r="93" spans="1:13">
      <c r="A93" s="482" t="s">
        <v>188</v>
      </c>
      <c r="B93" s="482"/>
      <c r="C93" s="482"/>
      <c r="D93" s="482"/>
      <c r="E93" s="482"/>
      <c r="F93" s="482"/>
      <c r="G93" s="482"/>
      <c r="H93" s="482"/>
      <c r="I93" s="482"/>
      <c r="J93" s="482"/>
      <c r="K93" s="482"/>
    </row>
    <row r="95" spans="1:13">
      <c r="A95" s="70" t="s">
        <v>221</v>
      </c>
      <c r="B95" s="69"/>
      <c r="C95" s="66" t="s">
        <v>254</v>
      </c>
      <c r="D95" s="66" t="s">
        <v>21</v>
      </c>
      <c r="E95" s="478" t="s">
        <v>192</v>
      </c>
      <c r="F95" s="478"/>
      <c r="G95" s="478"/>
      <c r="H95" s="66" t="s">
        <v>191</v>
      </c>
      <c r="I95" s="68" t="s">
        <v>27</v>
      </c>
      <c r="J95" s="67" t="s">
        <v>255</v>
      </c>
      <c r="K95" s="66" t="s">
        <v>256</v>
      </c>
    </row>
    <row r="96" spans="1:13">
      <c r="A96" s="59" t="s">
        <v>310</v>
      </c>
      <c r="G96" s="10">
        <v>229128000</v>
      </c>
      <c r="I96" s="34">
        <f>SUM(I97:I102)</f>
        <v>203494510.45999998</v>
      </c>
    </row>
    <row r="97" spans="1:14" hidden="1" outlineLevel="1">
      <c r="B97" s="36" t="s">
        <v>6562</v>
      </c>
      <c r="C97" s="64"/>
      <c r="D97" s="35" t="s">
        <v>222</v>
      </c>
      <c r="E97" s="35"/>
      <c r="F97" s="10"/>
      <c r="G97" s="10"/>
      <c r="H97" s="64"/>
      <c r="I97" s="34">
        <f>1060812.27+2966645.42+14901073.08+84873493.03</f>
        <v>103802023.8</v>
      </c>
      <c r="J97" s="48" t="s">
        <v>6635</v>
      </c>
      <c r="K97" s="54" t="s">
        <v>6563</v>
      </c>
      <c r="L97" s="4"/>
      <c r="M97" s="20"/>
      <c r="N97" s="4"/>
    </row>
    <row r="98" spans="1:14" hidden="1" outlineLevel="1">
      <c r="B98" s="36" t="s">
        <v>6699</v>
      </c>
      <c r="C98" s="64"/>
      <c r="D98" s="35" t="s">
        <v>222</v>
      </c>
      <c r="E98" s="35"/>
      <c r="F98" s="10"/>
      <c r="G98" s="10"/>
      <c r="H98" s="64"/>
      <c r="I98" s="34">
        <f>2720705.67+14731749.99+77432468.08+2191283.56</f>
        <v>97076207.299999997</v>
      </c>
      <c r="J98" s="48" t="s">
        <v>6752</v>
      </c>
      <c r="K98" s="54" t="s">
        <v>6753</v>
      </c>
      <c r="L98" s="4"/>
      <c r="M98" s="20"/>
      <c r="N98" s="4"/>
    </row>
    <row r="99" spans="1:14" hidden="1" outlineLevel="1">
      <c r="B99" s="36" t="s">
        <v>6841</v>
      </c>
      <c r="C99" s="64"/>
      <c r="D99" s="35">
        <v>515040</v>
      </c>
      <c r="H99" s="64"/>
      <c r="I99" s="37">
        <v>-1827836.2400000007</v>
      </c>
      <c r="J99" s="61">
        <v>46219</v>
      </c>
      <c r="K99" s="54" t="s">
        <v>6819</v>
      </c>
      <c r="L99" s="4"/>
      <c r="M99" s="20"/>
      <c r="N99" s="4"/>
    </row>
    <row r="100" spans="1:14" hidden="1" outlineLevel="1">
      <c r="D100" s="35"/>
      <c r="H100" s="63"/>
      <c r="J100" s="48"/>
      <c r="K100" s="60"/>
      <c r="L100" s="4"/>
      <c r="M100" s="20"/>
      <c r="N100" s="4"/>
    </row>
    <row r="101" spans="1:14" hidden="1" outlineLevel="1">
      <c r="B101" s="36" t="s">
        <v>220</v>
      </c>
      <c r="D101" s="35">
        <v>517000</v>
      </c>
      <c r="E101" s="32" t="s">
        <v>389</v>
      </c>
      <c r="I101" s="17">
        <v>4444115.6000000006</v>
      </c>
      <c r="J101" s="61">
        <v>46181</v>
      </c>
      <c r="K101" s="54" t="s">
        <v>6480</v>
      </c>
    </row>
    <row r="102" spans="1:14" collapsed="1">
      <c r="A102" s="43"/>
      <c r="B102" s="47"/>
      <c r="C102" s="46"/>
      <c r="D102" s="46"/>
      <c r="E102" s="43"/>
      <c r="F102" s="14"/>
      <c r="G102" s="14"/>
      <c r="H102" s="62"/>
      <c r="I102" s="45"/>
      <c r="J102" s="44"/>
      <c r="K102" s="43"/>
    </row>
    <row r="103" spans="1:14">
      <c r="A103" s="59" t="s">
        <v>311</v>
      </c>
      <c r="G103" s="10">
        <v>131057000</v>
      </c>
      <c r="H103" s="34"/>
      <c r="I103" s="34">
        <f>SUM(I104:I115)</f>
        <v>97115006.159999996</v>
      </c>
      <c r="J103" s="37"/>
      <c r="K103" s="49"/>
    </row>
    <row r="104" spans="1:14" hidden="1" outlineLevel="1">
      <c r="B104" s="36" t="s">
        <v>223</v>
      </c>
      <c r="D104" s="33" t="s">
        <v>224</v>
      </c>
      <c r="E104" s="33"/>
      <c r="F104" s="7" t="s">
        <v>324</v>
      </c>
      <c r="J104" s="61"/>
      <c r="K104" s="54"/>
    </row>
    <row r="105" spans="1:14" hidden="1" outlineLevel="1">
      <c r="B105" s="36" t="s">
        <v>225</v>
      </c>
      <c r="D105" s="33" t="s">
        <v>226</v>
      </c>
      <c r="E105" s="33"/>
      <c r="F105" s="7" t="s">
        <v>329</v>
      </c>
      <c r="I105" s="34">
        <f>1712372.45+7576523.32</f>
        <v>9288895.7699999996</v>
      </c>
      <c r="J105" s="61" t="s">
        <v>6502</v>
      </c>
      <c r="K105" s="54" t="s">
        <v>6503</v>
      </c>
    </row>
    <row r="106" spans="1:14" hidden="1" outlineLevel="1">
      <c r="B106" s="36" t="s">
        <v>227</v>
      </c>
      <c r="D106" s="33" t="s">
        <v>4430</v>
      </c>
      <c r="E106" s="33"/>
      <c r="F106" s="10"/>
      <c r="G106" s="10"/>
      <c r="I106" s="34">
        <f>1174682.03+2706598.43+21192.77</f>
        <v>3902473.23</v>
      </c>
      <c r="J106" s="48" t="s">
        <v>6558</v>
      </c>
      <c r="K106" s="56" t="s">
        <v>6559</v>
      </c>
    </row>
    <row r="107" spans="1:14" hidden="1" outlineLevel="1">
      <c r="B107" s="36" t="s">
        <v>228</v>
      </c>
      <c r="D107" s="33" t="s">
        <v>229</v>
      </c>
      <c r="E107" s="33"/>
      <c r="I107" s="34">
        <v>1202834.45</v>
      </c>
      <c r="J107" s="48">
        <v>46188</v>
      </c>
      <c r="K107" s="56" t="s">
        <v>6543</v>
      </c>
    </row>
    <row r="108" spans="1:14" hidden="1" outlineLevel="1">
      <c r="B108" s="36" t="s">
        <v>230</v>
      </c>
      <c r="D108" s="33" t="s">
        <v>231</v>
      </c>
      <c r="E108" s="33"/>
      <c r="F108" s="10" t="s">
        <v>353</v>
      </c>
      <c r="G108" s="10"/>
      <c r="I108" s="34">
        <f>71186580.97+306.12</f>
        <v>71186887.090000004</v>
      </c>
      <c r="J108" s="48" t="s">
        <v>6560</v>
      </c>
      <c r="K108" s="56" t="s">
        <v>6561</v>
      </c>
    </row>
    <row r="109" spans="1:14" hidden="1" outlineLevel="1">
      <c r="B109" s="36" t="s">
        <v>331</v>
      </c>
      <c r="D109" s="33" t="s">
        <v>332</v>
      </c>
      <c r="E109" s="33"/>
      <c r="F109" s="7" t="s">
        <v>333</v>
      </c>
      <c r="I109" s="34">
        <v>5535427.9900000002</v>
      </c>
      <c r="J109" s="48">
        <v>46202</v>
      </c>
      <c r="K109" s="56" t="s">
        <v>6647</v>
      </c>
    </row>
    <row r="110" spans="1:14" hidden="1" outlineLevel="1">
      <c r="B110" s="36" t="s">
        <v>232</v>
      </c>
      <c r="D110" s="33" t="s">
        <v>233</v>
      </c>
      <c r="E110" s="33"/>
      <c r="F110" s="10" t="s">
        <v>411</v>
      </c>
      <c r="G110" s="10"/>
      <c r="J110" s="48"/>
      <c r="K110" s="56"/>
    </row>
    <row r="111" spans="1:14" hidden="1" outlineLevel="1">
      <c r="B111" s="36" t="s">
        <v>234</v>
      </c>
      <c r="D111" s="33" t="s">
        <v>235</v>
      </c>
      <c r="E111" s="33"/>
      <c r="F111" s="10" t="s">
        <v>410</v>
      </c>
      <c r="G111" s="10"/>
      <c r="I111" s="34">
        <f>2481454.36+1876106.45</f>
        <v>4357560.8099999996</v>
      </c>
      <c r="J111" s="61" t="s">
        <v>6870</v>
      </c>
      <c r="K111" s="56" t="s">
        <v>6871</v>
      </c>
    </row>
    <row r="112" spans="1:14" hidden="1" outlineLevel="1">
      <c r="A112" s="54" t="s">
        <v>346</v>
      </c>
      <c r="B112" s="36" t="s">
        <v>236</v>
      </c>
      <c r="D112" s="33" t="s">
        <v>237</v>
      </c>
      <c r="E112" s="33"/>
      <c r="F112" s="7" t="s">
        <v>321</v>
      </c>
      <c r="I112" s="17">
        <v>1634716.82</v>
      </c>
      <c r="J112" s="61">
        <v>46220</v>
      </c>
      <c r="K112" s="56" t="s">
        <v>6859</v>
      </c>
    </row>
    <row r="113" spans="1:13" hidden="1" outlineLevel="1">
      <c r="B113" s="36" t="s">
        <v>238</v>
      </c>
      <c r="D113" s="33" t="s">
        <v>239</v>
      </c>
      <c r="E113" s="33"/>
      <c r="I113" s="17"/>
      <c r="J113" s="48"/>
      <c r="K113" s="54"/>
    </row>
    <row r="114" spans="1:13" hidden="1" outlineLevel="1">
      <c r="B114" s="36" t="s">
        <v>240</v>
      </c>
      <c r="D114" s="33" t="s">
        <v>203</v>
      </c>
      <c r="E114" s="33"/>
      <c r="F114" s="7" t="s">
        <v>325</v>
      </c>
      <c r="I114" s="17">
        <v>6210</v>
      </c>
      <c r="J114" s="48">
        <v>46188</v>
      </c>
      <c r="K114" s="54" t="s">
        <v>6547</v>
      </c>
      <c r="M114" s="32" t="s">
        <v>1849</v>
      </c>
    </row>
    <row r="115" spans="1:13" hidden="1" outlineLevel="1">
      <c r="B115" s="55" t="s">
        <v>241</v>
      </c>
      <c r="D115" s="33" t="s">
        <v>242</v>
      </c>
      <c r="E115" s="33"/>
      <c r="J115" s="48"/>
      <c r="K115" s="56"/>
    </row>
    <row r="116" spans="1:13" collapsed="1">
      <c r="A116" s="43"/>
      <c r="B116" s="47"/>
      <c r="C116" s="46"/>
      <c r="D116" s="43"/>
      <c r="E116" s="43"/>
      <c r="F116" s="14"/>
      <c r="G116" s="14"/>
      <c r="H116" s="43"/>
      <c r="I116" s="45"/>
      <c r="J116" s="44"/>
      <c r="K116" s="43"/>
    </row>
    <row r="117" spans="1:13">
      <c r="A117" s="59" t="s">
        <v>312</v>
      </c>
      <c r="G117" s="10">
        <v>181272000</v>
      </c>
      <c r="H117" s="34"/>
      <c r="I117" s="17">
        <f>SUM(I118:I125)</f>
        <v>67336394.459999993</v>
      </c>
      <c r="J117" s="48"/>
      <c r="K117" s="58"/>
    </row>
    <row r="118" spans="1:13" hidden="1" outlineLevel="1">
      <c r="B118" s="55" t="s">
        <v>243</v>
      </c>
      <c r="D118" s="36">
        <v>536200</v>
      </c>
      <c r="E118" s="32" t="s">
        <v>326</v>
      </c>
      <c r="I118" s="34">
        <v>6241447</v>
      </c>
      <c r="J118" s="48">
        <v>46188</v>
      </c>
      <c r="K118" s="54" t="s">
        <v>6542</v>
      </c>
    </row>
    <row r="119" spans="1:13" hidden="1" outlineLevel="1">
      <c r="B119" s="55" t="s">
        <v>244</v>
      </c>
      <c r="J119" s="48"/>
      <c r="K119" s="54"/>
    </row>
    <row r="120" spans="1:13" hidden="1" outlineLevel="1">
      <c r="B120" s="55" t="s">
        <v>320</v>
      </c>
      <c r="D120" s="32" t="s">
        <v>322</v>
      </c>
      <c r="E120" s="32" t="s">
        <v>323</v>
      </c>
      <c r="J120" s="48"/>
      <c r="K120" s="54"/>
    </row>
    <row r="121" spans="1:13" hidden="1" outlineLevel="1">
      <c r="B121" s="55" t="s">
        <v>245</v>
      </c>
      <c r="I121" s="34">
        <v>1596270.61</v>
      </c>
      <c r="J121" s="48">
        <v>46191</v>
      </c>
      <c r="K121" s="54" t="s">
        <v>6578</v>
      </c>
    </row>
    <row r="122" spans="1:13" hidden="1" outlineLevel="1">
      <c r="B122" s="36" t="s">
        <v>202</v>
      </c>
      <c r="E122" s="33"/>
      <c r="F122" s="10"/>
      <c r="G122" s="10"/>
      <c r="J122" s="48"/>
      <c r="K122" s="56"/>
    </row>
    <row r="123" spans="1:13" hidden="1" outlineLevel="1">
      <c r="B123" s="55" t="s">
        <v>204</v>
      </c>
      <c r="D123" s="33">
        <v>530280</v>
      </c>
      <c r="E123" s="32" t="s">
        <v>336</v>
      </c>
      <c r="F123" s="10"/>
      <c r="G123" s="10"/>
      <c r="I123" s="93">
        <f>1031900.84+1351623.58</f>
        <v>2383524.42</v>
      </c>
      <c r="J123" s="48" t="s">
        <v>6626</v>
      </c>
      <c r="K123" s="57" t="s">
        <v>6627</v>
      </c>
    </row>
    <row r="124" spans="1:13" hidden="1" outlineLevel="1">
      <c r="B124" s="55" t="s">
        <v>246</v>
      </c>
      <c r="D124" s="32" t="s">
        <v>6414</v>
      </c>
      <c r="F124" s="10"/>
      <c r="G124" s="10"/>
      <c r="I124" s="34">
        <f>1872551.57+16212099.55+10076265.52+12166432.19+15709736.97+1062521.61</f>
        <v>57099607.409999996</v>
      </c>
      <c r="J124" s="48" t="s">
        <v>6567</v>
      </c>
      <c r="K124" s="54" t="s">
        <v>6568</v>
      </c>
    </row>
    <row r="125" spans="1:13" hidden="1" outlineLevel="1">
      <c r="B125" s="55" t="s">
        <v>509</v>
      </c>
      <c r="D125" s="32" t="s">
        <v>731</v>
      </c>
      <c r="I125" s="34">
        <f>15545.02</f>
        <v>15545.02</v>
      </c>
      <c r="J125" s="48">
        <v>46188</v>
      </c>
      <c r="K125" s="54" t="s">
        <v>6547</v>
      </c>
    </row>
    <row r="126" spans="1:13" collapsed="1">
      <c r="A126" s="43"/>
      <c r="B126" s="53"/>
      <c r="C126" s="46"/>
      <c r="D126" s="43"/>
      <c r="E126" s="43"/>
      <c r="F126" s="14"/>
      <c r="G126" s="14"/>
      <c r="H126" s="43"/>
      <c r="I126" s="45"/>
      <c r="J126" s="44"/>
      <c r="K126" s="43"/>
    </row>
    <row r="127" spans="1:13">
      <c r="A127" s="50" t="s">
        <v>313</v>
      </c>
      <c r="B127" s="52"/>
      <c r="C127" s="51"/>
      <c r="D127" s="32" t="s">
        <v>6261</v>
      </c>
      <c r="F127" s="8"/>
      <c r="G127" s="10">
        <v>6769000</v>
      </c>
      <c r="H127" s="34"/>
      <c r="I127" s="17"/>
      <c r="J127" s="48"/>
      <c r="K127" s="57"/>
    </row>
    <row r="128" spans="1:13">
      <c r="A128" s="43"/>
      <c r="B128" s="47"/>
      <c r="C128" s="46"/>
      <c r="D128" s="43"/>
      <c r="E128" s="43"/>
      <c r="F128" s="14"/>
      <c r="G128" s="14"/>
      <c r="H128" s="43"/>
      <c r="I128" s="45"/>
      <c r="J128" s="44"/>
      <c r="K128" s="43"/>
    </row>
    <row r="129" spans="1:11">
      <c r="A129" s="50" t="s">
        <v>314</v>
      </c>
      <c r="G129" s="10">
        <v>32709000</v>
      </c>
      <c r="I129" s="34">
        <f>SUM(I130:I132)</f>
        <v>44825212.160000004</v>
      </c>
      <c r="J129" s="48"/>
      <c r="K129" s="49"/>
    </row>
    <row r="130" spans="1:11" hidden="1" outlineLevel="1">
      <c r="B130" s="36" t="s">
        <v>247</v>
      </c>
      <c r="D130" s="35">
        <v>551100</v>
      </c>
      <c r="F130" s="10"/>
      <c r="G130" s="10"/>
      <c r="I130" s="93">
        <f>1444500+2050744.07+35893144+4000000+1436824.09</f>
        <v>44825212.160000004</v>
      </c>
      <c r="J130" s="48" t="s">
        <v>6791</v>
      </c>
      <c r="K130" s="57" t="s">
        <v>6792</v>
      </c>
    </row>
    <row r="131" spans="1:11" hidden="1" outlineLevel="1">
      <c r="B131" s="36" t="s">
        <v>508</v>
      </c>
      <c r="J131" s="48"/>
      <c r="K131" s="54"/>
    </row>
    <row r="132" spans="1:11" hidden="1" outlineLevel="1">
      <c r="B132" s="36" t="s">
        <v>253</v>
      </c>
      <c r="J132" s="48"/>
    </row>
    <row r="133" spans="1:11" collapsed="1">
      <c r="A133" s="43"/>
      <c r="B133" s="47"/>
      <c r="C133" s="46"/>
      <c r="D133" s="43"/>
      <c r="E133" s="43"/>
      <c r="F133" s="14"/>
      <c r="G133" s="14"/>
      <c r="H133" s="43"/>
      <c r="I133" s="45"/>
      <c r="J133" s="44"/>
      <c r="K133" s="43"/>
    </row>
    <row r="135" spans="1:11">
      <c r="A135" s="39" t="s">
        <v>189</v>
      </c>
      <c r="B135" s="42"/>
      <c r="C135" s="317"/>
      <c r="D135" s="39"/>
      <c r="E135" s="39"/>
      <c r="F135" s="15"/>
      <c r="G135" s="15">
        <f>SUM(G96:G134)</f>
        <v>580935000</v>
      </c>
      <c r="H135" s="39"/>
      <c r="I135" s="41">
        <f>I129+I127+I117+I103+I96</f>
        <v>412771123.24000001</v>
      </c>
      <c r="J135" s="40"/>
      <c r="K135" s="39"/>
    </row>
    <row r="137" spans="1:11">
      <c r="A137" s="38" t="s">
        <v>248</v>
      </c>
    </row>
    <row r="138" spans="1:11">
      <c r="A138" s="32" t="s">
        <v>249</v>
      </c>
    </row>
    <row r="139" spans="1:11">
      <c r="A139" s="32" t="s">
        <v>250</v>
      </c>
    </row>
    <row r="140" spans="1:11">
      <c r="A140" s="32" t="s">
        <v>251</v>
      </c>
      <c r="J140" s="37"/>
    </row>
    <row r="141" spans="1:11">
      <c r="J141" s="37"/>
    </row>
  </sheetData>
  <sheetProtection algorithmName="SHA-512" hashValue="+9PtsP2ZI44i/mQi91XytwTffD+NxAjPh0NrF6b44eTpEoV7VKlCcA8GlDxMAui7Espr8ZaOinyZELCqzDDdHw==" saltValue="EMVZq4ZRLrQGb4n/kRMMnw==" spinCount="100000" sheet="1" objects="1" scenarios="1"/>
  <mergeCells count="6">
    <mergeCell ref="E95:G95"/>
    <mergeCell ref="A1:K1"/>
    <mergeCell ref="A3:J3"/>
    <mergeCell ref="A5:K5"/>
    <mergeCell ref="E7:G7"/>
    <mergeCell ref="A93:K93"/>
  </mergeCells>
  <pageMargins left="0.7" right="0.7" top="0.75" bottom="0.75" header="0.3" footer="0.3"/>
  <ignoredErrors>
    <ignoredError sqref="K22" numberStoredAsText="1"/>
  </ignoredErrors>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7815E-CD3E-4E42-935A-D7B8A7E1EA57}">
  <dimension ref="A1:U141"/>
  <sheetViews>
    <sheetView zoomScaleNormal="100" workbookViewId="0">
      <selection activeCell="I98" sqref="I98"/>
    </sheetView>
  </sheetViews>
  <sheetFormatPr defaultColWidth="10.42578125" defaultRowHeight="15" outlineLevelRow="2"/>
  <cols>
    <col min="1" max="1" width="1.42578125" style="32" customWidth="1"/>
    <col min="2" max="2" width="42.5703125" style="36" customWidth="1"/>
    <col min="3" max="3" width="18" style="35" customWidth="1"/>
    <col min="4" max="4" width="22.42578125" style="32" customWidth="1"/>
    <col min="5" max="5" width="12" style="32" customWidth="1"/>
    <col min="6" max="6" width="9.85546875" style="7" customWidth="1"/>
    <col min="7" max="7" width="20.140625" style="7" customWidth="1"/>
    <col min="8" max="8" width="38.5703125" style="32" customWidth="1"/>
    <col min="9" max="9" width="23.85546875" style="34" customWidth="1"/>
    <col min="10" max="10" width="22.5703125" style="33" bestFit="1" customWidth="1"/>
    <col min="11" max="11" width="42.5703125" style="32" bestFit="1" customWidth="1"/>
    <col min="12" max="12" width="17.42578125" style="32" bestFit="1" customWidth="1"/>
    <col min="13" max="13" width="10.42578125" style="32"/>
    <col min="14" max="14" width="14.85546875" style="32" bestFit="1" customWidth="1"/>
    <col min="15" max="15" width="13.140625" style="32" bestFit="1" customWidth="1"/>
    <col min="16" max="16" width="16.140625" style="32" bestFit="1" customWidth="1"/>
    <col min="17" max="17" width="17.42578125" style="32" bestFit="1" customWidth="1"/>
    <col min="18" max="18" width="16.140625" style="32" bestFit="1" customWidth="1"/>
    <col min="19" max="16384" width="10.42578125" style="32"/>
  </cols>
  <sheetData>
    <row r="1" spans="1:11">
      <c r="A1" s="479" t="s">
        <v>6655</v>
      </c>
      <c r="B1" s="479"/>
      <c r="C1" s="479"/>
      <c r="D1" s="479"/>
      <c r="E1" s="479"/>
      <c r="F1" s="479"/>
      <c r="G1" s="479"/>
      <c r="H1" s="479"/>
      <c r="I1" s="479"/>
      <c r="J1" s="479"/>
      <c r="K1" s="479"/>
    </row>
    <row r="2" spans="1:11">
      <c r="A2" s="315"/>
      <c r="B2" s="98"/>
      <c r="C2" s="315"/>
      <c r="D2" s="315"/>
      <c r="E2" s="315"/>
      <c r="F2" s="6"/>
      <c r="G2" s="6"/>
      <c r="H2" s="315"/>
      <c r="I2" s="97"/>
      <c r="J2" s="96"/>
      <c r="K2" s="315"/>
    </row>
    <row r="3" spans="1:11">
      <c r="A3" s="480" t="s">
        <v>185</v>
      </c>
      <c r="B3" s="480"/>
      <c r="C3" s="480"/>
      <c r="D3" s="480"/>
      <c r="E3" s="480"/>
      <c r="F3" s="480"/>
      <c r="G3" s="480"/>
      <c r="H3" s="480"/>
      <c r="I3" s="480"/>
      <c r="J3" s="480"/>
      <c r="K3" s="92"/>
    </row>
    <row r="4" spans="1:11">
      <c r="A4" s="92"/>
      <c r="B4" s="92"/>
      <c r="C4" s="92"/>
      <c r="D4" s="92"/>
      <c r="E4" s="92"/>
      <c r="F4" s="92"/>
      <c r="G4" s="92"/>
      <c r="H4" s="92"/>
      <c r="I4" s="95"/>
      <c r="J4" s="87"/>
      <c r="K4" s="92"/>
    </row>
    <row r="5" spans="1:11">
      <c r="A5" s="481" t="s">
        <v>186</v>
      </c>
      <c r="B5" s="481"/>
      <c r="C5" s="481"/>
      <c r="D5" s="481"/>
      <c r="E5" s="481"/>
      <c r="F5" s="481"/>
      <c r="G5" s="481"/>
      <c r="H5" s="481"/>
      <c r="I5" s="481"/>
      <c r="J5" s="481"/>
      <c r="K5" s="481"/>
    </row>
    <row r="6" spans="1:11">
      <c r="A6" s="66"/>
      <c r="B6" s="69"/>
      <c r="C6" s="66"/>
      <c r="D6" s="66"/>
      <c r="E6" s="66"/>
      <c r="F6" s="314"/>
      <c r="G6" s="314"/>
      <c r="H6" s="66"/>
      <c r="I6" s="68"/>
      <c r="J6" s="67"/>
      <c r="K6" s="66"/>
    </row>
    <row r="7" spans="1:11">
      <c r="A7" s="70" t="s">
        <v>190</v>
      </c>
      <c r="B7" s="69"/>
      <c r="C7" s="66" t="s">
        <v>254</v>
      </c>
      <c r="D7" s="66" t="s">
        <v>21</v>
      </c>
      <c r="E7" s="478" t="s">
        <v>192</v>
      </c>
      <c r="F7" s="478"/>
      <c r="G7" s="478"/>
      <c r="H7" s="67" t="s">
        <v>191</v>
      </c>
      <c r="I7" s="68" t="s">
        <v>27</v>
      </c>
      <c r="J7" s="67" t="s">
        <v>255</v>
      </c>
      <c r="K7" s="66" t="s">
        <v>256</v>
      </c>
    </row>
    <row r="8" spans="1:11" hidden="1" outlineLevel="1">
      <c r="B8" s="36" t="s">
        <v>257</v>
      </c>
      <c r="C8" s="35">
        <v>1300100000</v>
      </c>
      <c r="D8" s="33">
        <v>700020</v>
      </c>
      <c r="E8" s="33"/>
      <c r="H8" s="33" t="s">
        <v>258</v>
      </c>
      <c r="J8" s="48"/>
      <c r="K8" s="166"/>
    </row>
    <row r="9" spans="1:11" hidden="1" outlineLevel="1">
      <c r="B9" s="36" t="s">
        <v>259</v>
      </c>
      <c r="C9" s="35">
        <v>1300100000</v>
      </c>
      <c r="D9" s="33">
        <v>701020</v>
      </c>
      <c r="E9" s="33"/>
      <c r="H9" s="33" t="s">
        <v>258</v>
      </c>
      <c r="J9" s="61"/>
      <c r="K9" s="166"/>
    </row>
    <row r="10" spans="1:11" hidden="1" outlineLevel="1">
      <c r="B10" s="36" t="s">
        <v>319</v>
      </c>
      <c r="C10" s="35">
        <v>1300100000</v>
      </c>
      <c r="D10" s="33">
        <v>702000</v>
      </c>
      <c r="E10" s="33"/>
      <c r="H10" s="33" t="s">
        <v>258</v>
      </c>
      <c r="J10" s="48"/>
      <c r="K10" s="60"/>
    </row>
    <row r="11" spans="1:11" hidden="1" outlineLevel="1">
      <c r="B11" s="36" t="s">
        <v>260</v>
      </c>
      <c r="C11" s="35">
        <v>1400100000</v>
      </c>
      <c r="D11" s="33">
        <v>703000</v>
      </c>
      <c r="E11" s="33"/>
      <c r="H11" s="33" t="s">
        <v>258</v>
      </c>
    </row>
    <row r="12" spans="1:11" hidden="1" outlineLevel="1">
      <c r="B12" s="36" t="s">
        <v>261</v>
      </c>
      <c r="C12" s="35">
        <v>1300100000</v>
      </c>
      <c r="D12" s="33">
        <v>704000</v>
      </c>
      <c r="E12" s="33"/>
      <c r="F12" s="10"/>
      <c r="G12" s="10"/>
      <c r="H12" s="33" t="s">
        <v>258</v>
      </c>
      <c r="J12" s="48"/>
      <c r="K12" s="54"/>
    </row>
    <row r="13" spans="1:11" hidden="1" outlineLevel="1">
      <c r="B13" s="36" t="s">
        <v>262</v>
      </c>
      <c r="C13" s="35">
        <v>1300100000</v>
      </c>
      <c r="D13" s="35">
        <v>705000</v>
      </c>
      <c r="E13" s="33"/>
      <c r="H13" s="33" t="s">
        <v>258</v>
      </c>
      <c r="J13" s="48"/>
      <c r="K13" s="65"/>
    </row>
    <row r="14" spans="1:11" collapsed="1">
      <c r="A14" s="50" t="s">
        <v>263</v>
      </c>
      <c r="C14" s="51" t="s">
        <v>203</v>
      </c>
      <c r="D14" s="75" t="s">
        <v>203</v>
      </c>
      <c r="E14" s="75"/>
      <c r="F14" s="8"/>
      <c r="G14" s="11">
        <v>0</v>
      </c>
      <c r="H14" s="75" t="s">
        <v>258</v>
      </c>
      <c r="I14" s="34">
        <f>SUM(I8:I13)</f>
        <v>0</v>
      </c>
      <c r="J14" s="48"/>
      <c r="K14" s="57"/>
    </row>
    <row r="15" spans="1:11">
      <c r="A15" s="76"/>
      <c r="B15" s="82"/>
      <c r="C15" s="80"/>
      <c r="D15" s="77"/>
      <c r="E15" s="77"/>
      <c r="F15" s="9"/>
      <c r="G15" s="9"/>
      <c r="H15" s="77"/>
      <c r="I15" s="78"/>
      <c r="J15" s="77"/>
      <c r="K15" s="76"/>
    </row>
    <row r="16" spans="1:11">
      <c r="A16" s="59" t="s">
        <v>264</v>
      </c>
      <c r="C16" s="51">
        <v>1300100000</v>
      </c>
      <c r="D16" s="75">
        <v>710020</v>
      </c>
      <c r="E16" s="75"/>
      <c r="F16" s="50"/>
      <c r="G16" s="11">
        <v>-5216000</v>
      </c>
      <c r="H16" s="89">
        <v>46215</v>
      </c>
      <c r="I16" s="93"/>
      <c r="J16" s="48"/>
      <c r="K16" s="54"/>
    </row>
    <row r="17" spans="1:11">
      <c r="A17" s="76"/>
      <c r="B17" s="82"/>
      <c r="C17" s="80"/>
      <c r="D17" s="77"/>
      <c r="E17" s="77"/>
      <c r="F17" s="9"/>
      <c r="G17" s="9"/>
      <c r="H17" s="94"/>
      <c r="I17" s="78"/>
      <c r="J17" s="77"/>
      <c r="K17" s="76"/>
    </row>
    <row r="18" spans="1:11" hidden="1" outlineLevel="1">
      <c r="B18" s="36" t="s">
        <v>265</v>
      </c>
      <c r="C18" s="35">
        <v>1200200000</v>
      </c>
      <c r="D18" s="33">
        <v>712000</v>
      </c>
      <c r="E18" s="33"/>
      <c r="G18" s="10"/>
      <c r="H18" s="48" t="s">
        <v>195</v>
      </c>
      <c r="I18" s="17"/>
      <c r="J18" s="48"/>
      <c r="K18" s="49"/>
    </row>
    <row r="19" spans="1:11" hidden="1" outlineLevel="1">
      <c r="B19" s="36" t="s">
        <v>266</v>
      </c>
      <c r="C19" s="35">
        <v>1300100000</v>
      </c>
      <c r="D19" s="33">
        <v>714000</v>
      </c>
      <c r="E19" s="33"/>
      <c r="G19" s="10"/>
      <c r="H19" s="48" t="s">
        <v>195</v>
      </c>
      <c r="I19" s="17"/>
    </row>
    <row r="20" spans="1:11" hidden="1" outlineLevel="1">
      <c r="B20" s="36" t="s">
        <v>267</v>
      </c>
      <c r="C20" s="35">
        <v>1400100000</v>
      </c>
      <c r="D20" s="33">
        <v>713000</v>
      </c>
      <c r="E20" s="33"/>
      <c r="F20" s="10"/>
      <c r="G20" s="10"/>
      <c r="H20" s="48" t="s">
        <v>195</v>
      </c>
      <c r="I20" s="93"/>
      <c r="J20" s="48"/>
      <c r="K20" s="54"/>
    </row>
    <row r="21" spans="1:11" hidden="1" outlineLevel="1">
      <c r="B21" s="36" t="s">
        <v>268</v>
      </c>
      <c r="C21" s="35">
        <v>1400100000</v>
      </c>
      <c r="D21" s="33">
        <v>715040</v>
      </c>
      <c r="E21" s="33"/>
      <c r="G21" s="10"/>
      <c r="H21" s="48" t="s">
        <v>195</v>
      </c>
      <c r="I21" s="17"/>
      <c r="J21" s="48"/>
      <c r="K21" s="57"/>
    </row>
    <row r="22" spans="1:11" hidden="1" outlineLevel="1">
      <c r="B22" s="36" t="s">
        <v>318</v>
      </c>
      <c r="C22" s="35">
        <v>1300100000</v>
      </c>
      <c r="D22" s="33">
        <v>715070</v>
      </c>
      <c r="E22" s="33"/>
      <c r="F22" s="10"/>
      <c r="G22" s="10"/>
      <c r="H22" s="48" t="s">
        <v>195</v>
      </c>
      <c r="I22" s="93"/>
      <c r="J22" s="48"/>
      <c r="K22" s="60"/>
    </row>
    <row r="23" spans="1:11" collapsed="1">
      <c r="A23" s="50" t="s">
        <v>269</v>
      </c>
      <c r="C23" s="51" t="s">
        <v>203</v>
      </c>
      <c r="D23" s="75" t="s">
        <v>203</v>
      </c>
      <c r="E23" s="75"/>
      <c r="F23" s="11"/>
      <c r="G23" s="11">
        <v>-2208000</v>
      </c>
      <c r="H23" s="89" t="s">
        <v>195</v>
      </c>
      <c r="I23" s="17">
        <f>SUM(I18:I22)</f>
        <v>0</v>
      </c>
      <c r="J23" s="48"/>
    </row>
    <row r="24" spans="1:11">
      <c r="A24" s="76"/>
      <c r="B24" s="82"/>
      <c r="C24" s="80"/>
      <c r="D24" s="77"/>
      <c r="E24" s="77"/>
      <c r="F24" s="9"/>
      <c r="G24" s="9"/>
      <c r="H24" s="94"/>
      <c r="I24" s="78"/>
      <c r="J24" s="77"/>
      <c r="K24" s="76"/>
    </row>
    <row r="25" spans="1:11" hidden="1" outlineLevel="1">
      <c r="B25" s="36" t="s">
        <v>316</v>
      </c>
      <c r="C25" s="35">
        <v>1000100000</v>
      </c>
      <c r="D25" s="33">
        <v>725020</v>
      </c>
      <c r="E25" s="33"/>
      <c r="F25" s="10"/>
      <c r="G25" s="19"/>
      <c r="H25" s="48" t="s">
        <v>327</v>
      </c>
      <c r="J25" s="48"/>
      <c r="K25" s="60"/>
    </row>
    <row r="26" spans="1:11" hidden="1" outlineLevel="1">
      <c r="B26" s="55" t="s">
        <v>317</v>
      </c>
      <c r="C26" s="35" t="s">
        <v>203</v>
      </c>
      <c r="D26" s="87" t="s">
        <v>203</v>
      </c>
      <c r="E26" s="87"/>
      <c r="F26" s="10"/>
      <c r="G26" s="93"/>
      <c r="H26" s="33" t="s">
        <v>195</v>
      </c>
      <c r="J26" s="61"/>
      <c r="K26" s="60"/>
    </row>
    <row r="27" spans="1:11" collapsed="1">
      <c r="A27" s="50" t="s">
        <v>270</v>
      </c>
      <c r="C27" s="51" t="s">
        <v>203</v>
      </c>
      <c r="D27" s="75" t="s">
        <v>203</v>
      </c>
      <c r="E27" s="75"/>
      <c r="F27" s="11"/>
      <c r="G27" s="11">
        <v>-1363000</v>
      </c>
      <c r="H27" s="89" t="s">
        <v>195</v>
      </c>
      <c r="I27" s="34">
        <f>SUM(I25:I26)</f>
        <v>0</v>
      </c>
    </row>
    <row r="28" spans="1:11">
      <c r="A28" s="76"/>
      <c r="B28" s="82"/>
      <c r="C28" s="80"/>
      <c r="D28" s="77"/>
      <c r="E28" s="77"/>
      <c r="F28" s="9"/>
      <c r="G28" s="9"/>
      <c r="H28" s="94"/>
      <c r="I28" s="78"/>
      <c r="J28" s="77"/>
      <c r="K28" s="76"/>
    </row>
    <row r="29" spans="1:11" hidden="1" outlineLevel="1">
      <c r="B29" s="36" t="s">
        <v>193</v>
      </c>
      <c r="C29" s="35">
        <v>1100900000</v>
      </c>
      <c r="D29" s="33" t="s">
        <v>194</v>
      </c>
      <c r="E29" s="33"/>
      <c r="H29" s="33" t="s">
        <v>271</v>
      </c>
      <c r="J29" s="48"/>
      <c r="K29" s="57"/>
    </row>
    <row r="30" spans="1:11" hidden="1" outlineLevel="1">
      <c r="B30" s="55" t="s">
        <v>196</v>
      </c>
      <c r="C30" s="35" t="s">
        <v>203</v>
      </c>
      <c r="D30" s="33" t="s">
        <v>197</v>
      </c>
      <c r="E30" s="33"/>
      <c r="H30" s="33" t="s">
        <v>195</v>
      </c>
      <c r="J30" s="48"/>
      <c r="K30" s="57"/>
    </row>
    <row r="31" spans="1:11" hidden="1" outlineLevel="1">
      <c r="B31" s="55" t="s">
        <v>198</v>
      </c>
      <c r="C31" s="35">
        <v>1100900000</v>
      </c>
      <c r="D31" s="87">
        <v>731200</v>
      </c>
      <c r="E31" s="87"/>
      <c r="F31" s="10"/>
      <c r="G31" s="93"/>
      <c r="H31" s="89">
        <v>46215</v>
      </c>
      <c r="J31" s="48"/>
      <c r="K31" s="54"/>
    </row>
    <row r="32" spans="1:11" hidden="1" outlineLevel="1">
      <c r="B32" s="55" t="s">
        <v>199</v>
      </c>
      <c r="C32" s="35" t="s">
        <v>203</v>
      </c>
      <c r="D32" s="87" t="s">
        <v>200</v>
      </c>
      <c r="E32" s="87"/>
      <c r="H32" s="33" t="s">
        <v>195</v>
      </c>
      <c r="I32" s="17"/>
      <c r="J32" s="48"/>
      <c r="K32" s="166"/>
    </row>
    <row r="33" spans="1:21" hidden="1" outlineLevel="1">
      <c r="B33" s="10" t="s">
        <v>272</v>
      </c>
      <c r="C33" s="35">
        <v>1400100000</v>
      </c>
      <c r="D33" s="87" t="s">
        <v>201</v>
      </c>
      <c r="E33" s="87"/>
      <c r="F33" s="10"/>
      <c r="G33" s="10"/>
      <c r="H33" s="33" t="s">
        <v>273</v>
      </c>
      <c r="J33" s="48"/>
      <c r="K33" s="54"/>
    </row>
    <row r="34" spans="1:21" hidden="1" outlineLevel="1">
      <c r="B34" s="55" t="s">
        <v>252</v>
      </c>
      <c r="C34" s="35">
        <v>1103800000</v>
      </c>
      <c r="D34" s="87">
        <v>733030</v>
      </c>
      <c r="E34" s="87"/>
      <c r="F34" s="93"/>
      <c r="G34" s="10"/>
      <c r="H34" s="33" t="s">
        <v>274</v>
      </c>
      <c r="J34" s="48"/>
      <c r="K34" s="54"/>
      <c r="L34" s="48"/>
    </row>
    <row r="35" spans="1:21" collapsed="1">
      <c r="A35" s="59" t="s">
        <v>275</v>
      </c>
      <c r="B35" s="55"/>
      <c r="C35" s="51" t="s">
        <v>203</v>
      </c>
      <c r="D35" s="75" t="s">
        <v>203</v>
      </c>
      <c r="E35" s="75"/>
      <c r="F35" s="8"/>
      <c r="G35" s="11">
        <v>-528000</v>
      </c>
      <c r="H35" s="89" t="s">
        <v>195</v>
      </c>
      <c r="I35" s="17">
        <f>SUM(I29:I34)</f>
        <v>0</v>
      </c>
      <c r="J35" s="48"/>
      <c r="K35" s="54"/>
    </row>
    <row r="36" spans="1:21">
      <c r="A36" s="86"/>
      <c r="B36" s="91"/>
      <c r="C36" s="80"/>
      <c r="D36" s="90"/>
      <c r="E36" s="90"/>
      <c r="F36" s="9"/>
      <c r="G36" s="9"/>
      <c r="H36" s="77"/>
      <c r="I36" s="78"/>
      <c r="J36" s="77"/>
      <c r="K36" s="76"/>
    </row>
    <row r="37" spans="1:21" hidden="1" outlineLevel="1">
      <c r="B37" s="92" t="s">
        <v>276</v>
      </c>
      <c r="C37" s="35" t="s">
        <v>203</v>
      </c>
      <c r="D37" s="87" t="s">
        <v>203</v>
      </c>
      <c r="E37" s="87"/>
      <c r="F37" s="10"/>
      <c r="G37" s="10"/>
      <c r="H37" s="33" t="s">
        <v>195</v>
      </c>
      <c r="I37" s="93"/>
      <c r="J37" s="48"/>
      <c r="K37" s="60"/>
      <c r="L37" s="48"/>
    </row>
    <row r="38" spans="1:21" hidden="1" outlineLevel="1">
      <c r="B38" s="92" t="s">
        <v>277</v>
      </c>
      <c r="C38" s="35" t="s">
        <v>203</v>
      </c>
      <c r="D38" s="87" t="s">
        <v>203</v>
      </c>
      <c r="E38" s="87"/>
      <c r="F38" s="10"/>
      <c r="G38" s="10"/>
      <c r="H38" s="33" t="s">
        <v>195</v>
      </c>
      <c r="J38" s="48"/>
      <c r="K38" s="166"/>
      <c r="M38" s="4"/>
      <c r="N38" s="20"/>
      <c r="O38" s="4"/>
      <c r="P38" s="4"/>
      <c r="Q38" s="4"/>
      <c r="R38" s="4"/>
      <c r="S38" s="4"/>
      <c r="T38"/>
      <c r="U38" s="352"/>
    </row>
    <row r="39" spans="1:21" collapsed="1">
      <c r="A39" s="59" t="s">
        <v>278</v>
      </c>
      <c r="B39" s="55"/>
      <c r="C39" s="51" t="s">
        <v>203</v>
      </c>
      <c r="D39" s="75" t="s">
        <v>203</v>
      </c>
      <c r="E39" s="75"/>
      <c r="F39" s="10"/>
      <c r="G39" s="11">
        <v>-5320000</v>
      </c>
      <c r="H39" s="89" t="s">
        <v>195</v>
      </c>
      <c r="I39" s="17">
        <f>SUM(I37:I38)</f>
        <v>0</v>
      </c>
      <c r="M39" s="4"/>
      <c r="N39" s="20"/>
      <c r="O39" s="4"/>
      <c r="P39" s="4"/>
      <c r="Q39" s="4"/>
      <c r="R39" s="4"/>
      <c r="S39" s="4"/>
      <c r="T39"/>
      <c r="U39" s="18"/>
    </row>
    <row r="40" spans="1:21">
      <c r="A40" s="86"/>
      <c r="B40" s="91"/>
      <c r="C40" s="80"/>
      <c r="D40" s="90"/>
      <c r="E40" s="90"/>
      <c r="F40" s="9"/>
      <c r="G40" s="9"/>
      <c r="H40" s="77"/>
      <c r="I40" s="78"/>
      <c r="J40" s="77"/>
      <c r="K40" s="76"/>
    </row>
    <row r="41" spans="1:21" hidden="1" outlineLevel="1">
      <c r="B41" s="55" t="s">
        <v>279</v>
      </c>
      <c r="C41" s="35">
        <v>1300100000</v>
      </c>
      <c r="D41" s="87">
        <v>750200</v>
      </c>
      <c r="G41" s="88"/>
      <c r="H41" s="33" t="s">
        <v>2819</v>
      </c>
      <c r="J41" s="48"/>
      <c r="K41" s="65"/>
    </row>
    <row r="42" spans="1:21" hidden="1" outlineLevel="1">
      <c r="B42" s="55" t="s">
        <v>315</v>
      </c>
      <c r="C42" s="35" t="s">
        <v>203</v>
      </c>
      <c r="D42" s="87">
        <v>755120</v>
      </c>
      <c r="F42" s="10"/>
      <c r="G42" s="88"/>
      <c r="H42" s="89">
        <v>46229</v>
      </c>
      <c r="J42" s="48"/>
      <c r="K42" s="60"/>
    </row>
    <row r="43" spans="1:21" hidden="1" outlineLevel="1">
      <c r="B43" s="55" t="s">
        <v>202</v>
      </c>
      <c r="D43" s="87"/>
      <c r="F43" s="10"/>
      <c r="G43" s="88"/>
      <c r="H43" s="89" t="s">
        <v>195</v>
      </c>
      <c r="J43" s="48"/>
      <c r="K43" s="60"/>
    </row>
    <row r="44" spans="1:21" hidden="1" outlineLevel="2">
      <c r="B44" s="55" t="s">
        <v>280</v>
      </c>
      <c r="D44" s="87">
        <v>751000</v>
      </c>
      <c r="E44" s="10"/>
      <c r="F44" s="10"/>
      <c r="G44" s="88"/>
      <c r="H44" s="33" t="s">
        <v>195</v>
      </c>
      <c r="J44" s="48"/>
      <c r="K44" s="166"/>
    </row>
    <row r="45" spans="1:21" hidden="1" outlineLevel="2">
      <c r="B45" s="55" t="s">
        <v>281</v>
      </c>
      <c r="D45" s="87">
        <v>750920</v>
      </c>
      <c r="E45" s="10"/>
      <c r="F45" s="10"/>
      <c r="G45" s="88"/>
      <c r="H45" s="33" t="s">
        <v>195</v>
      </c>
      <c r="J45" s="48"/>
      <c r="K45" s="60"/>
    </row>
    <row r="46" spans="1:21" hidden="1" outlineLevel="2">
      <c r="B46" s="55" t="s">
        <v>282</v>
      </c>
      <c r="D46" s="87">
        <v>751040</v>
      </c>
      <c r="E46" s="10"/>
      <c r="F46" s="10"/>
      <c r="G46" s="88"/>
      <c r="H46" s="89">
        <v>46215</v>
      </c>
      <c r="J46" s="48"/>
      <c r="K46" s="60"/>
      <c r="N46" s="4"/>
      <c r="O46" s="16"/>
      <c r="P46" s="17"/>
      <c r="Q46" s="17"/>
      <c r="R46" s="17"/>
    </row>
    <row r="47" spans="1:21" hidden="1" outlineLevel="2">
      <c r="B47" s="55" t="s">
        <v>283</v>
      </c>
      <c r="D47" s="87">
        <v>751020</v>
      </c>
      <c r="E47" s="10"/>
      <c r="F47" s="10"/>
      <c r="G47" s="88"/>
      <c r="H47" s="33" t="s">
        <v>195</v>
      </c>
      <c r="J47" s="156"/>
      <c r="K47" s="60"/>
      <c r="N47" s="4"/>
      <c r="O47" s="16"/>
      <c r="P47" s="17"/>
      <c r="Q47" s="17"/>
      <c r="R47" s="17"/>
    </row>
    <row r="48" spans="1:21" hidden="1" outlineLevel="2">
      <c r="B48" s="55" t="s">
        <v>284</v>
      </c>
      <c r="D48" s="87">
        <v>750960</v>
      </c>
      <c r="E48" s="10"/>
      <c r="F48" s="10"/>
      <c r="G48" s="88"/>
      <c r="H48" s="33" t="s">
        <v>195</v>
      </c>
      <c r="N48" s="4"/>
      <c r="O48" s="16"/>
      <c r="P48" s="17"/>
      <c r="Q48" s="17"/>
      <c r="R48" s="17"/>
    </row>
    <row r="49" spans="1:17" hidden="1" outlineLevel="2">
      <c r="B49" s="55" t="s">
        <v>285</v>
      </c>
      <c r="D49" s="87">
        <v>750980</v>
      </c>
      <c r="E49" s="10"/>
      <c r="F49" s="10"/>
      <c r="G49" s="88"/>
      <c r="H49" s="33" t="s">
        <v>195</v>
      </c>
      <c r="J49" s="48"/>
      <c r="K49" s="60"/>
      <c r="P49" s="34"/>
      <c r="Q49" s="34"/>
    </row>
    <row r="50" spans="1:17" hidden="1" outlineLevel="1">
      <c r="B50" s="55" t="s">
        <v>204</v>
      </c>
      <c r="D50" s="87"/>
      <c r="E50" s="10"/>
      <c r="F50" s="10"/>
      <c r="G50" s="88"/>
      <c r="H50" s="89">
        <v>46215</v>
      </c>
      <c r="J50" s="48"/>
      <c r="K50" s="54"/>
    </row>
    <row r="51" spans="1:17" hidden="1" outlineLevel="2">
      <c r="B51" s="55" t="s">
        <v>286</v>
      </c>
      <c r="C51" s="35">
        <v>5100100000</v>
      </c>
      <c r="D51" s="87">
        <v>750300</v>
      </c>
      <c r="E51" s="10"/>
      <c r="F51" s="10"/>
      <c r="G51" s="88"/>
      <c r="H51" s="89">
        <v>46215</v>
      </c>
      <c r="I51" s="34">
        <v>-1458535</v>
      </c>
      <c r="J51" s="61">
        <v>46224</v>
      </c>
      <c r="K51" s="60" t="s">
        <v>6883</v>
      </c>
    </row>
    <row r="52" spans="1:17" hidden="1" outlineLevel="2">
      <c r="B52" s="55" t="s">
        <v>287</v>
      </c>
      <c r="C52" s="35">
        <v>5100100000</v>
      </c>
      <c r="D52" s="87">
        <v>750700</v>
      </c>
      <c r="E52" s="10"/>
      <c r="F52" s="10"/>
      <c r="G52" s="88"/>
      <c r="H52" s="89">
        <v>46215</v>
      </c>
      <c r="J52" s="61"/>
      <c r="K52" s="60"/>
    </row>
    <row r="53" spans="1:17" hidden="1" outlineLevel="2">
      <c r="B53" s="55" t="s">
        <v>288</v>
      </c>
      <c r="C53" s="35">
        <v>2300100000</v>
      </c>
      <c r="D53" s="87">
        <v>750320</v>
      </c>
      <c r="E53" s="10"/>
      <c r="F53" s="10"/>
      <c r="G53" s="88"/>
      <c r="H53" s="48" t="s">
        <v>328</v>
      </c>
      <c r="I53" s="34">
        <v>-274888</v>
      </c>
      <c r="J53" s="61">
        <v>46224</v>
      </c>
      <c r="K53" s="60" t="s">
        <v>6883</v>
      </c>
    </row>
    <row r="54" spans="1:17" hidden="1" outlineLevel="1">
      <c r="B54" s="55" t="s">
        <v>205</v>
      </c>
      <c r="D54" s="87"/>
      <c r="E54" s="10"/>
      <c r="F54" s="10"/>
      <c r="G54" s="88"/>
      <c r="H54" s="48"/>
      <c r="J54" s="61"/>
      <c r="K54" s="54"/>
    </row>
    <row r="55" spans="1:17" hidden="1" outlineLevel="2">
      <c r="B55" s="55" t="s">
        <v>289</v>
      </c>
      <c r="D55" s="87">
        <v>755900</v>
      </c>
      <c r="E55" s="10"/>
      <c r="F55" s="10"/>
      <c r="G55" s="88"/>
      <c r="H55" s="33" t="s">
        <v>195</v>
      </c>
      <c r="J55" s="48"/>
      <c r="K55" s="65"/>
    </row>
    <row r="56" spans="1:17" hidden="1" outlineLevel="2">
      <c r="B56" s="55" t="s">
        <v>290</v>
      </c>
      <c r="D56" s="87">
        <v>750250</v>
      </c>
      <c r="E56" s="10"/>
      <c r="F56" s="10"/>
      <c r="G56" s="88"/>
      <c r="H56" s="89">
        <v>46229</v>
      </c>
      <c r="J56" s="48"/>
      <c r="K56" s="54"/>
    </row>
    <row r="57" spans="1:17" hidden="1" outlineLevel="2">
      <c r="B57" s="55" t="s">
        <v>291</v>
      </c>
      <c r="D57" s="87">
        <v>750740</v>
      </c>
      <c r="E57" s="10"/>
      <c r="F57" s="10"/>
      <c r="G57" s="88"/>
      <c r="H57" s="89">
        <v>46229</v>
      </c>
      <c r="J57" s="48"/>
      <c r="K57" s="65"/>
    </row>
    <row r="58" spans="1:17" hidden="1" outlineLevel="2">
      <c r="B58" s="55" t="s">
        <v>292</v>
      </c>
      <c r="D58" s="87">
        <v>751500</v>
      </c>
      <c r="E58" s="10"/>
      <c r="F58" s="10"/>
      <c r="G58" s="88"/>
      <c r="H58" s="89">
        <v>46229</v>
      </c>
      <c r="J58" s="48"/>
      <c r="K58" s="60"/>
    </row>
    <row r="59" spans="1:17" hidden="1" outlineLevel="2">
      <c r="B59" s="55" t="s">
        <v>293</v>
      </c>
      <c r="D59" s="87">
        <v>750900</v>
      </c>
      <c r="E59" s="10"/>
      <c r="F59" s="10"/>
      <c r="G59" s="88"/>
      <c r="H59" s="89">
        <v>46229</v>
      </c>
      <c r="J59" s="61"/>
      <c r="K59" s="60"/>
      <c r="L59" s="347"/>
    </row>
    <row r="60" spans="1:17" hidden="1" outlineLevel="1">
      <c r="B60" s="55" t="s">
        <v>206</v>
      </c>
      <c r="D60" s="87" t="s">
        <v>203</v>
      </c>
      <c r="E60" s="10"/>
      <c r="F60" s="10"/>
      <c r="G60"/>
      <c r="H60" s="33" t="s">
        <v>195</v>
      </c>
      <c r="J60" s="61"/>
      <c r="K60" s="364"/>
    </row>
    <row r="61" spans="1:17" collapsed="1">
      <c r="A61" s="59" t="s">
        <v>294</v>
      </c>
      <c r="C61" s="51" t="s">
        <v>203</v>
      </c>
      <c r="D61" s="75" t="s">
        <v>203</v>
      </c>
      <c r="E61" s="7"/>
      <c r="F61" s="32"/>
      <c r="G61" s="11">
        <v>-126796000</v>
      </c>
      <c r="H61" s="75"/>
      <c r="I61" s="34">
        <f>SUM(I41:I60)</f>
        <v>-1733423</v>
      </c>
      <c r="J61" s="61"/>
      <c r="K61" s="60"/>
    </row>
    <row r="62" spans="1:17">
      <c r="A62" s="76"/>
      <c r="B62" s="82"/>
      <c r="C62" s="80"/>
      <c r="D62" s="76"/>
      <c r="E62" s="76"/>
      <c r="F62" s="9"/>
      <c r="G62" s="9"/>
      <c r="H62" s="77"/>
      <c r="I62" s="78"/>
      <c r="J62" s="77"/>
      <c r="K62" s="76"/>
    </row>
    <row r="63" spans="1:17" hidden="1" outlineLevel="1">
      <c r="B63" s="55" t="s">
        <v>204</v>
      </c>
      <c r="D63" s="87"/>
      <c r="E63" s="87"/>
      <c r="H63" s="33"/>
    </row>
    <row r="64" spans="1:17" hidden="1" outlineLevel="2">
      <c r="B64" s="55" t="s">
        <v>295</v>
      </c>
      <c r="C64" s="35">
        <v>5100100000</v>
      </c>
      <c r="D64" s="87">
        <v>760000</v>
      </c>
      <c r="E64" s="10"/>
      <c r="F64" s="32"/>
      <c r="H64" s="89">
        <v>46215</v>
      </c>
      <c r="J64" s="48"/>
      <c r="K64" s="54"/>
      <c r="L64" s="17"/>
      <c r="N64" s="88"/>
    </row>
    <row r="65" spans="1:14" hidden="1" outlineLevel="2">
      <c r="B65" s="55" t="s">
        <v>296</v>
      </c>
      <c r="C65" s="35">
        <v>5100100000</v>
      </c>
      <c r="D65" s="87">
        <v>761000</v>
      </c>
      <c r="E65" s="10"/>
      <c r="F65" s="32"/>
      <c r="H65" s="89">
        <v>46215</v>
      </c>
      <c r="J65" s="48"/>
      <c r="K65" s="54"/>
      <c r="N65" s="88"/>
    </row>
    <row r="66" spans="1:14" hidden="1" outlineLevel="2">
      <c r="B66" s="55" t="s">
        <v>297</v>
      </c>
      <c r="C66" s="35">
        <v>2300100000</v>
      </c>
      <c r="D66" s="87">
        <v>761020</v>
      </c>
      <c r="E66" s="10"/>
      <c r="F66" s="32"/>
      <c r="G66" s="10"/>
      <c r="H66" s="48" t="s">
        <v>328</v>
      </c>
      <c r="I66" s="34">
        <v>-2831273</v>
      </c>
      <c r="J66" s="61">
        <v>46224</v>
      </c>
      <c r="K66" s="60" t="s">
        <v>6883</v>
      </c>
      <c r="L66" s="60"/>
    </row>
    <row r="67" spans="1:14" hidden="1" outlineLevel="2">
      <c r="B67" s="55" t="s">
        <v>298</v>
      </c>
      <c r="C67" s="35">
        <v>2300100000</v>
      </c>
      <c r="D67" s="87">
        <v>761040</v>
      </c>
      <c r="E67" s="7"/>
      <c r="F67" s="32"/>
      <c r="H67" s="48" t="s">
        <v>328</v>
      </c>
      <c r="J67" s="61"/>
      <c r="K67" s="60"/>
      <c r="L67" s="60"/>
    </row>
    <row r="68" spans="1:14" hidden="1" outlineLevel="1">
      <c r="B68" s="55" t="s">
        <v>207</v>
      </c>
      <c r="D68" s="87" t="s">
        <v>203</v>
      </c>
      <c r="E68" s="87"/>
      <c r="F68" s="10"/>
      <c r="G68" s="10"/>
      <c r="H68" s="353" t="s">
        <v>195</v>
      </c>
      <c r="J68" s="48"/>
      <c r="K68" s="364"/>
      <c r="L68" s="60"/>
    </row>
    <row r="69" spans="1:14" collapsed="1">
      <c r="A69" s="59" t="s">
        <v>299</v>
      </c>
      <c r="B69" s="55"/>
      <c r="C69" s="51" t="s">
        <v>203</v>
      </c>
      <c r="D69" s="75" t="s">
        <v>203</v>
      </c>
      <c r="E69" s="87"/>
      <c r="G69" s="11">
        <v>-95780000</v>
      </c>
      <c r="H69" s="75"/>
      <c r="I69" s="34">
        <f>SUM(I64:I68)</f>
        <v>-2831273</v>
      </c>
      <c r="L69" s="4"/>
      <c r="M69" s="5"/>
    </row>
    <row r="70" spans="1:14">
      <c r="A70" s="76"/>
      <c r="B70" s="82"/>
      <c r="C70" s="80"/>
      <c r="D70" s="76"/>
      <c r="E70" s="76"/>
      <c r="F70" s="9"/>
      <c r="G70" s="9"/>
      <c r="H70" s="77"/>
      <c r="I70" s="78"/>
      <c r="J70" s="77"/>
      <c r="K70" s="76"/>
    </row>
    <row r="71" spans="1:14">
      <c r="A71" s="59" t="s">
        <v>300</v>
      </c>
      <c r="B71" s="55"/>
      <c r="C71" s="35">
        <v>1300100000</v>
      </c>
      <c r="D71" s="87">
        <v>781000</v>
      </c>
      <c r="E71" s="87"/>
      <c r="F71" s="10"/>
      <c r="G71" s="11">
        <v>0</v>
      </c>
      <c r="H71" s="75" t="s">
        <v>330</v>
      </c>
      <c r="J71" s="48"/>
      <c r="K71" s="60"/>
    </row>
    <row r="72" spans="1:14">
      <c r="A72" s="86"/>
      <c r="B72" s="82"/>
      <c r="C72" s="80"/>
      <c r="D72" s="76"/>
      <c r="E72" s="76"/>
      <c r="F72" s="9"/>
      <c r="G72" s="9"/>
      <c r="H72" s="77"/>
      <c r="I72" s="78"/>
      <c r="J72" s="77"/>
      <c r="K72" s="76"/>
    </row>
    <row r="73" spans="1:14" hidden="1" outlineLevel="1">
      <c r="B73" s="55" t="s">
        <v>208</v>
      </c>
      <c r="D73" s="87" t="s">
        <v>209</v>
      </c>
      <c r="E73" s="87"/>
      <c r="F73" s="10"/>
      <c r="G73" s="10"/>
      <c r="H73" s="33" t="s">
        <v>195</v>
      </c>
      <c r="I73" s="93"/>
      <c r="J73" s="48"/>
      <c r="K73" s="57"/>
    </row>
    <row r="74" spans="1:14" hidden="1" outlineLevel="1">
      <c r="B74" s="55" t="s">
        <v>210</v>
      </c>
      <c r="D74" s="87" t="s">
        <v>211</v>
      </c>
      <c r="E74" s="87"/>
      <c r="H74" s="33" t="s">
        <v>195</v>
      </c>
      <c r="I74" s="17"/>
      <c r="J74" s="48"/>
      <c r="K74" s="57"/>
    </row>
    <row r="75" spans="1:14" hidden="1" outlineLevel="1">
      <c r="B75" s="55" t="s">
        <v>218</v>
      </c>
      <c r="D75" s="87" t="s">
        <v>219</v>
      </c>
      <c r="E75" s="87"/>
      <c r="F75" s="93"/>
      <c r="G75" s="93"/>
      <c r="H75" s="33" t="s">
        <v>195</v>
      </c>
      <c r="I75" s="34">
        <f>-3898009.65-1424784.84-9936615.63-1262431.09-1577036.8-4094490.95-6873475.43</f>
        <v>-29066844.390000001</v>
      </c>
      <c r="J75" s="61" t="s">
        <v>6916</v>
      </c>
      <c r="K75" s="364" t="s">
        <v>6917</v>
      </c>
    </row>
    <row r="76" spans="1:14" hidden="1" outlineLevel="1">
      <c r="B76" s="55" t="s">
        <v>214</v>
      </c>
      <c r="D76" s="87" t="s">
        <v>215</v>
      </c>
      <c r="E76" s="87"/>
      <c r="F76" s="10"/>
      <c r="G76" s="93"/>
      <c r="H76" s="33" t="s">
        <v>195</v>
      </c>
      <c r="J76" s="61"/>
      <c r="K76" s="60"/>
    </row>
    <row r="77" spans="1:14" hidden="1" outlineLevel="1">
      <c r="B77" s="55" t="s">
        <v>216</v>
      </c>
      <c r="C77"/>
      <c r="D77" s="87" t="s">
        <v>217</v>
      </c>
      <c r="E77" s="87"/>
      <c r="F77" s="10"/>
      <c r="G77" s="10"/>
      <c r="H77" s="33" t="s">
        <v>195</v>
      </c>
      <c r="J77" s="48"/>
      <c r="K77" s="57"/>
    </row>
    <row r="78" spans="1:14" hidden="1" outlineLevel="1">
      <c r="B78" s="36" t="s">
        <v>212</v>
      </c>
      <c r="C78" s="64"/>
      <c r="D78" s="35" t="s">
        <v>213</v>
      </c>
      <c r="E78" s="35"/>
      <c r="F78" s="10"/>
      <c r="G78" s="10"/>
      <c r="H78" s="64" t="s">
        <v>195</v>
      </c>
      <c r="I78" s="351">
        <f>-2008453.81-5276487.43</f>
        <v>-7284941.2400000002</v>
      </c>
      <c r="J78" s="48" t="s">
        <v>6811</v>
      </c>
      <c r="K78" s="54" t="s">
        <v>6812</v>
      </c>
    </row>
    <row r="79" spans="1:14" hidden="1" outlineLevel="1">
      <c r="B79" s="55" t="s">
        <v>220</v>
      </c>
      <c r="D79" s="87" t="s">
        <v>203</v>
      </c>
      <c r="E79" s="87"/>
      <c r="F79" s="10"/>
      <c r="G79" s="93"/>
      <c r="H79" s="33" t="s">
        <v>195</v>
      </c>
      <c r="J79" s="61"/>
      <c r="K79" s="60"/>
    </row>
    <row r="80" spans="1:14" collapsed="1">
      <c r="A80" s="50" t="s">
        <v>301</v>
      </c>
      <c r="B80" s="55"/>
      <c r="C80" s="51" t="s">
        <v>203</v>
      </c>
      <c r="D80" s="75" t="s">
        <v>203</v>
      </c>
      <c r="E80" s="87"/>
      <c r="G80" s="11">
        <v>-99456000</v>
      </c>
      <c r="H80" s="8"/>
      <c r="I80" s="34">
        <f>SUM(I73:I79)</f>
        <v>-36351785.630000003</v>
      </c>
      <c r="J80" s="48"/>
      <c r="K80" s="49"/>
    </row>
    <row r="81" spans="1:13">
      <c r="A81" s="86"/>
      <c r="B81" s="82"/>
      <c r="C81" s="80"/>
      <c r="D81" s="76"/>
      <c r="E81" s="76"/>
      <c r="F81" s="9"/>
      <c r="G81" s="9"/>
      <c r="H81" s="77"/>
      <c r="I81" s="78"/>
      <c r="J81" s="77"/>
      <c r="K81" s="76"/>
    </row>
    <row r="82" spans="1:13" hidden="1" outlineLevel="1">
      <c r="B82" s="36" t="s">
        <v>338</v>
      </c>
      <c r="C82" s="35">
        <v>1300100000</v>
      </c>
      <c r="D82" s="33">
        <f>781242</f>
        <v>781242</v>
      </c>
      <c r="F82" s="10"/>
      <c r="G82" s="10"/>
      <c r="J82" s="48"/>
      <c r="K82" s="60"/>
    </row>
    <row r="83" spans="1:13" hidden="1" outlineLevel="1">
      <c r="B83" s="36" t="s">
        <v>4930</v>
      </c>
      <c r="C83" s="35" t="s">
        <v>203</v>
      </c>
      <c r="D83" s="33" t="s">
        <v>303</v>
      </c>
      <c r="F83" s="10"/>
      <c r="G83" s="10"/>
      <c r="J83" s="61"/>
      <c r="K83" s="60"/>
    </row>
    <row r="84" spans="1:13" collapsed="1">
      <c r="A84" s="59" t="s">
        <v>302</v>
      </c>
      <c r="C84" s="51" t="s">
        <v>203</v>
      </c>
      <c r="D84" s="51" t="s">
        <v>303</v>
      </c>
      <c r="E84" s="35"/>
      <c r="F84" s="32"/>
      <c r="G84" s="11">
        <v>-2746000</v>
      </c>
      <c r="H84" s="75" t="s">
        <v>195</v>
      </c>
      <c r="I84" s="34">
        <f>SUM(I82:I83)</f>
        <v>0</v>
      </c>
      <c r="J84" s="63"/>
      <c r="K84" s="57"/>
    </row>
    <row r="85" spans="1:13">
      <c r="A85" s="83"/>
      <c r="B85" s="82"/>
      <c r="C85" s="81"/>
      <c r="D85" s="81"/>
      <c r="E85" s="80"/>
      <c r="F85" s="76"/>
      <c r="G85" s="12"/>
      <c r="H85" s="79"/>
      <c r="I85" s="78"/>
      <c r="J85" s="77"/>
      <c r="K85" s="76"/>
    </row>
    <row r="86" spans="1:13" hidden="1" outlineLevel="2">
      <c r="A86" s="59"/>
      <c r="B86" s="36" t="s">
        <v>304</v>
      </c>
      <c r="C86" s="35">
        <v>1100100000</v>
      </c>
      <c r="D86" s="35">
        <v>790500</v>
      </c>
      <c r="H86" s="75" t="s">
        <v>305</v>
      </c>
      <c r="J86" s="48"/>
      <c r="K86" s="57"/>
      <c r="L86" s="85"/>
      <c r="M86" s="85"/>
    </row>
    <row r="87" spans="1:13" ht="15.75" hidden="1" outlineLevel="2">
      <c r="A87" s="59"/>
      <c r="B87" s="84" t="s">
        <v>306</v>
      </c>
      <c r="C87" s="35" t="s">
        <v>203</v>
      </c>
      <c r="D87" s="33">
        <v>790600</v>
      </c>
      <c r="E87" s="36"/>
      <c r="H87" s="75" t="s">
        <v>307</v>
      </c>
      <c r="J87" s="48"/>
      <c r="K87" s="60"/>
    </row>
    <row r="88" spans="1:13" collapsed="1">
      <c r="A88" s="59" t="s">
        <v>308</v>
      </c>
      <c r="C88" s="51" t="s">
        <v>203</v>
      </c>
      <c r="D88" s="51" t="s">
        <v>303</v>
      </c>
      <c r="E88" s="35"/>
      <c r="F88" s="10"/>
      <c r="G88" s="11">
        <v>-459000</v>
      </c>
      <c r="H88" s="75" t="s">
        <v>309</v>
      </c>
      <c r="I88" s="34">
        <f>SUM(I86:I87)</f>
        <v>0</v>
      </c>
      <c r="J88" s="48"/>
    </row>
    <row r="89" spans="1:13">
      <c r="A89" s="83"/>
      <c r="B89" s="82"/>
      <c r="C89" s="81"/>
      <c r="D89" s="81"/>
      <c r="E89" s="80"/>
      <c r="F89" s="9"/>
      <c r="G89" s="9"/>
      <c r="H89" s="79"/>
      <c r="I89" s="78"/>
      <c r="J89" s="77"/>
      <c r="K89" s="76"/>
    </row>
    <row r="90" spans="1:13">
      <c r="A90" s="59"/>
      <c r="C90" s="51"/>
      <c r="D90" s="51"/>
      <c r="E90" s="35"/>
      <c r="H90" s="75"/>
    </row>
    <row r="91" spans="1:13">
      <c r="A91" s="71" t="s">
        <v>187</v>
      </c>
      <c r="B91" s="74"/>
      <c r="C91" s="316"/>
      <c r="D91" s="71"/>
      <c r="E91" s="71"/>
      <c r="F91" s="71"/>
      <c r="G91" s="13">
        <f>SUM(G8:G90)</f>
        <v>-339872000</v>
      </c>
      <c r="H91" s="71"/>
      <c r="I91" s="73">
        <f>SUM(I88+I84+I80+I71+I69+I61+I39+I35+I27+I23+I16+I14)</f>
        <v>-40916481.630000003</v>
      </c>
      <c r="J91" s="72"/>
      <c r="K91" s="71"/>
    </row>
    <row r="93" spans="1:13">
      <c r="A93" s="482" t="s">
        <v>188</v>
      </c>
      <c r="B93" s="482"/>
      <c r="C93" s="482"/>
      <c r="D93" s="482"/>
      <c r="E93" s="482"/>
      <c r="F93" s="482"/>
      <c r="G93" s="482"/>
      <c r="H93" s="482"/>
      <c r="I93" s="482"/>
      <c r="J93" s="482"/>
      <c r="K93" s="482"/>
    </row>
    <row r="95" spans="1:13">
      <c r="A95" s="70" t="s">
        <v>221</v>
      </c>
      <c r="B95" s="69"/>
      <c r="C95" s="66" t="s">
        <v>254</v>
      </c>
      <c r="D95" s="66" t="s">
        <v>21</v>
      </c>
      <c r="E95" s="478" t="s">
        <v>192</v>
      </c>
      <c r="F95" s="478"/>
      <c r="G95" s="478"/>
      <c r="H95" s="66" t="s">
        <v>191</v>
      </c>
      <c r="I95" s="68" t="s">
        <v>27</v>
      </c>
      <c r="J95" s="67" t="s">
        <v>255</v>
      </c>
      <c r="K95" s="66" t="s">
        <v>256</v>
      </c>
    </row>
    <row r="96" spans="1:13">
      <c r="A96" s="59" t="s">
        <v>310</v>
      </c>
      <c r="G96" s="10">
        <v>222506000</v>
      </c>
      <c r="I96" s="34">
        <f>SUM(I97:I102)</f>
        <v>132142090.99000001</v>
      </c>
    </row>
    <row r="97" spans="1:14" hidden="1" outlineLevel="1">
      <c r="B97" s="36" t="s">
        <v>6697</v>
      </c>
      <c r="C97" s="64"/>
      <c r="D97" s="35" t="s">
        <v>222</v>
      </c>
      <c r="E97" s="35"/>
      <c r="F97" s="10"/>
      <c r="G97" s="10"/>
      <c r="H97" s="64"/>
      <c r="I97" s="34">
        <f>14609646.85+2723627.88+78516816.36</f>
        <v>95850091.090000004</v>
      </c>
      <c r="J97" s="48" t="s">
        <v>6757</v>
      </c>
      <c r="K97" s="54" t="s">
        <v>6758</v>
      </c>
      <c r="L97" s="4"/>
      <c r="M97" s="20"/>
      <c r="N97" s="4"/>
    </row>
    <row r="98" spans="1:14" hidden="1" outlineLevel="1">
      <c r="B98" s="36" t="s">
        <v>6698</v>
      </c>
      <c r="C98" s="64"/>
      <c r="D98" s="35" t="s">
        <v>222</v>
      </c>
      <c r="E98" s="35"/>
      <c r="F98" s="10"/>
      <c r="G98" s="10"/>
      <c r="H98" s="64"/>
      <c r="I98" s="34">
        <f>1082990.74+4557383.05+30651626.11</f>
        <v>36291999.899999999</v>
      </c>
      <c r="J98" s="48" t="s">
        <v>6921</v>
      </c>
      <c r="K98" s="57" t="s">
        <v>6922</v>
      </c>
      <c r="L98" s="4"/>
      <c r="M98" s="20"/>
      <c r="N98" s="4"/>
    </row>
    <row r="99" spans="1:14" hidden="1" outlineLevel="1">
      <c r="C99" s="64"/>
      <c r="D99" s="35"/>
      <c r="H99" s="64"/>
      <c r="I99" s="37"/>
      <c r="J99" s="61"/>
      <c r="K99" s="54"/>
      <c r="L99" s="4"/>
      <c r="M99" s="20"/>
      <c r="N99" s="4"/>
    </row>
    <row r="100" spans="1:14" hidden="1" outlineLevel="1">
      <c r="D100" s="35"/>
      <c r="H100" s="63"/>
      <c r="J100" s="48"/>
      <c r="K100" s="60"/>
      <c r="L100" s="4"/>
      <c r="M100" s="20"/>
      <c r="N100" s="4"/>
    </row>
    <row r="101" spans="1:14" hidden="1" outlineLevel="1">
      <c r="B101" s="36" t="s">
        <v>220</v>
      </c>
      <c r="D101" s="35">
        <v>517000</v>
      </c>
      <c r="E101" s="32" t="s">
        <v>389</v>
      </c>
      <c r="I101" s="17"/>
      <c r="J101" s="61"/>
      <c r="K101" s="54"/>
    </row>
    <row r="102" spans="1:14" collapsed="1">
      <c r="A102" s="43"/>
      <c r="B102" s="47"/>
      <c r="C102" s="46"/>
      <c r="D102" s="46"/>
      <c r="E102" s="43"/>
      <c r="F102" s="14"/>
      <c r="G102" s="14"/>
      <c r="H102" s="62"/>
      <c r="I102" s="45"/>
      <c r="J102" s="44"/>
      <c r="K102" s="43"/>
    </row>
    <row r="103" spans="1:14">
      <c r="A103" s="59" t="s">
        <v>311</v>
      </c>
      <c r="G103" s="10">
        <v>73090000</v>
      </c>
      <c r="H103" s="34"/>
      <c r="I103" s="34">
        <f>SUM(I104:I115)</f>
        <v>2912355.09</v>
      </c>
      <c r="J103" s="37"/>
      <c r="K103" s="49"/>
    </row>
    <row r="104" spans="1:14" hidden="1" outlineLevel="1">
      <c r="B104" s="36" t="s">
        <v>223</v>
      </c>
      <c r="D104" s="33" t="s">
        <v>224</v>
      </c>
      <c r="E104" s="33"/>
      <c r="F104" s="7" t="s">
        <v>324</v>
      </c>
      <c r="J104" s="61"/>
      <c r="K104" s="54"/>
    </row>
    <row r="105" spans="1:14" hidden="1" outlineLevel="1">
      <c r="B105" s="36" t="s">
        <v>225</v>
      </c>
      <c r="D105" s="33" t="s">
        <v>226</v>
      </c>
      <c r="E105" s="33"/>
      <c r="F105" s="7" t="s">
        <v>329</v>
      </c>
      <c r="J105" s="61"/>
      <c r="K105" s="54"/>
    </row>
    <row r="106" spans="1:14" hidden="1" outlineLevel="1">
      <c r="B106" s="36" t="s">
        <v>227</v>
      </c>
      <c r="D106" s="33" t="s">
        <v>4430</v>
      </c>
      <c r="E106" s="33"/>
      <c r="F106" s="10"/>
      <c r="G106" s="10"/>
      <c r="I106" s="34">
        <v>333932.55</v>
      </c>
      <c r="J106" s="48">
        <v>46226</v>
      </c>
      <c r="K106" s="54" t="s">
        <v>6911</v>
      </c>
    </row>
    <row r="107" spans="1:14" hidden="1" outlineLevel="1">
      <c r="B107" s="36" t="s">
        <v>228</v>
      </c>
      <c r="D107" s="33" t="s">
        <v>229</v>
      </c>
      <c r="E107" s="33"/>
      <c r="J107" s="48"/>
      <c r="K107" s="56"/>
    </row>
    <row r="108" spans="1:14" hidden="1" outlineLevel="1">
      <c r="B108" s="36" t="s">
        <v>230</v>
      </c>
      <c r="D108" s="33" t="s">
        <v>231</v>
      </c>
      <c r="E108" s="33"/>
      <c r="F108" s="10" t="s">
        <v>353</v>
      </c>
      <c r="G108" s="10"/>
      <c r="I108" s="34">
        <v>1125000</v>
      </c>
      <c r="J108" s="48">
        <v>46220</v>
      </c>
      <c r="K108" s="56" t="s">
        <v>6854</v>
      </c>
    </row>
    <row r="109" spans="1:14" hidden="1" outlineLevel="1">
      <c r="B109" s="36" t="s">
        <v>331</v>
      </c>
      <c r="D109" s="33" t="s">
        <v>332</v>
      </c>
      <c r="E109" s="33"/>
      <c r="F109" s="7" t="s">
        <v>333</v>
      </c>
      <c r="J109" s="48"/>
      <c r="K109" s="56"/>
    </row>
    <row r="110" spans="1:14" hidden="1" outlineLevel="1">
      <c r="B110" s="36" t="s">
        <v>232</v>
      </c>
      <c r="D110" s="33" t="s">
        <v>233</v>
      </c>
      <c r="E110" s="33"/>
      <c r="F110" s="10" t="s">
        <v>411</v>
      </c>
      <c r="G110" s="10"/>
      <c r="J110" s="48"/>
      <c r="K110" s="56"/>
    </row>
    <row r="111" spans="1:14" hidden="1" outlineLevel="1">
      <c r="B111" s="36" t="s">
        <v>234</v>
      </c>
      <c r="D111" s="33" t="s">
        <v>235</v>
      </c>
      <c r="E111" s="33"/>
      <c r="F111" s="10" t="s">
        <v>410</v>
      </c>
      <c r="G111" s="10"/>
      <c r="J111" s="61"/>
      <c r="K111" s="56"/>
    </row>
    <row r="112" spans="1:14" hidden="1" outlineLevel="1">
      <c r="A112" s="54" t="s">
        <v>346</v>
      </c>
      <c r="B112" s="36" t="s">
        <v>236</v>
      </c>
      <c r="D112" s="33" t="s">
        <v>237</v>
      </c>
      <c r="E112" s="33"/>
      <c r="F112" s="7" t="s">
        <v>321</v>
      </c>
      <c r="I112" s="17"/>
      <c r="J112" s="61"/>
      <c r="K112" s="56"/>
    </row>
    <row r="113" spans="1:13" hidden="1" outlineLevel="1">
      <c r="B113" s="36" t="s">
        <v>238</v>
      </c>
      <c r="D113" s="33" t="s">
        <v>239</v>
      </c>
      <c r="E113" s="33"/>
      <c r="I113" s="17">
        <v>11702.91</v>
      </c>
      <c r="J113" s="48">
        <v>46226</v>
      </c>
      <c r="K113" s="54" t="s">
        <v>6911</v>
      </c>
    </row>
    <row r="114" spans="1:13" hidden="1" outlineLevel="1">
      <c r="B114" s="36" t="s">
        <v>240</v>
      </c>
      <c r="D114" s="33" t="s">
        <v>203</v>
      </c>
      <c r="E114" s="33"/>
      <c r="F114" s="7" t="s">
        <v>325</v>
      </c>
      <c r="I114" s="17">
        <v>1441719.63</v>
      </c>
      <c r="J114" s="48">
        <v>46226</v>
      </c>
      <c r="K114" s="54" t="s">
        <v>6911</v>
      </c>
      <c r="M114" s="32" t="s">
        <v>1849</v>
      </c>
    </row>
    <row r="115" spans="1:13" hidden="1" outlineLevel="1">
      <c r="B115" s="55" t="s">
        <v>241</v>
      </c>
      <c r="D115" s="33" t="s">
        <v>242</v>
      </c>
      <c r="E115" s="33"/>
      <c r="J115" s="48"/>
      <c r="K115" s="56"/>
    </row>
    <row r="116" spans="1:13" collapsed="1">
      <c r="A116" s="43"/>
      <c r="B116" s="47"/>
      <c r="C116" s="46"/>
      <c r="D116" s="43"/>
      <c r="E116" s="43"/>
      <c r="F116" s="14"/>
      <c r="G116" s="14"/>
      <c r="H116" s="43"/>
      <c r="I116" s="45"/>
      <c r="J116" s="44"/>
      <c r="K116" s="43"/>
    </row>
    <row r="117" spans="1:13">
      <c r="A117" s="59" t="s">
        <v>312</v>
      </c>
      <c r="G117" s="10">
        <v>96958000</v>
      </c>
      <c r="H117" s="34"/>
      <c r="I117" s="17">
        <f>SUM(I118:I125)</f>
        <v>47124175.090000004</v>
      </c>
      <c r="J117" s="48"/>
      <c r="K117" s="58"/>
    </row>
    <row r="118" spans="1:13" hidden="1" outlineLevel="1">
      <c r="B118" s="55" t="s">
        <v>243</v>
      </c>
      <c r="D118" s="36">
        <v>536200</v>
      </c>
      <c r="E118" s="32" t="s">
        <v>326</v>
      </c>
      <c r="J118" s="48"/>
      <c r="K118" s="54"/>
    </row>
    <row r="119" spans="1:13" hidden="1" outlineLevel="1">
      <c r="B119" s="55" t="s">
        <v>244</v>
      </c>
      <c r="J119" s="48"/>
      <c r="K119" s="54"/>
    </row>
    <row r="120" spans="1:13" hidden="1" outlineLevel="1">
      <c r="B120" s="55" t="s">
        <v>320</v>
      </c>
      <c r="D120" s="32" t="s">
        <v>322</v>
      </c>
      <c r="E120" s="32" t="s">
        <v>323</v>
      </c>
      <c r="J120" s="48"/>
      <c r="K120" s="54"/>
    </row>
    <row r="121" spans="1:13" hidden="1" outlineLevel="1">
      <c r="B121" s="55" t="s">
        <v>245</v>
      </c>
      <c r="J121" s="48"/>
      <c r="K121" s="54"/>
    </row>
    <row r="122" spans="1:13" hidden="1" outlineLevel="1">
      <c r="B122" s="36" t="s">
        <v>202</v>
      </c>
      <c r="E122" s="33"/>
      <c r="F122" s="10"/>
      <c r="G122" s="10"/>
      <c r="J122" s="48"/>
      <c r="K122" s="56"/>
    </row>
    <row r="123" spans="1:13" hidden="1" outlineLevel="1">
      <c r="B123" s="55" t="s">
        <v>204</v>
      </c>
      <c r="D123" s="33">
        <v>530280</v>
      </c>
      <c r="E123" s="32" t="s">
        <v>336</v>
      </c>
      <c r="F123" s="10"/>
      <c r="G123" s="10"/>
      <c r="I123" s="93">
        <v>1741192.08</v>
      </c>
      <c r="J123" s="48">
        <v>46219</v>
      </c>
      <c r="K123" s="57" t="s">
        <v>6815</v>
      </c>
    </row>
    <row r="124" spans="1:13" hidden="1" outlineLevel="1">
      <c r="B124" s="55" t="s">
        <v>246</v>
      </c>
      <c r="D124" s="32" t="s">
        <v>6414</v>
      </c>
      <c r="F124" s="10"/>
      <c r="G124" s="10"/>
      <c r="I124" s="34">
        <f>10111400.48+12139392.15+15095412.91+8036777.47</f>
        <v>45382983.010000005</v>
      </c>
      <c r="J124" s="48" t="s">
        <v>6888</v>
      </c>
      <c r="K124" s="54" t="s">
        <v>6889</v>
      </c>
    </row>
    <row r="125" spans="1:13" hidden="1" outlineLevel="1">
      <c r="B125" s="55" t="s">
        <v>509</v>
      </c>
      <c r="D125" s="32" t="s">
        <v>731</v>
      </c>
      <c r="J125" s="48"/>
      <c r="K125" s="54"/>
    </row>
    <row r="126" spans="1:13" collapsed="1">
      <c r="A126" s="43"/>
      <c r="B126" s="53"/>
      <c r="C126" s="46"/>
      <c r="D126" s="43"/>
      <c r="E126" s="43"/>
      <c r="F126" s="14"/>
      <c r="G126" s="14"/>
      <c r="H126" s="43"/>
      <c r="I126" s="45"/>
      <c r="J126" s="44"/>
      <c r="K126" s="43"/>
    </row>
    <row r="127" spans="1:13">
      <c r="A127" s="50" t="s">
        <v>313</v>
      </c>
      <c r="B127" s="52"/>
      <c r="C127" s="51"/>
      <c r="D127" s="32" t="s">
        <v>6261</v>
      </c>
      <c r="F127" s="8"/>
      <c r="G127" s="10">
        <v>354000</v>
      </c>
      <c r="H127" s="34"/>
      <c r="I127" s="17"/>
      <c r="J127" s="48"/>
      <c r="K127" s="57"/>
    </row>
    <row r="128" spans="1:13">
      <c r="A128" s="43"/>
      <c r="B128" s="47"/>
      <c r="C128" s="46"/>
      <c r="D128" s="43"/>
      <c r="E128" s="43"/>
      <c r="F128" s="14"/>
      <c r="G128" s="14"/>
      <c r="H128" s="43"/>
      <c r="I128" s="45"/>
      <c r="J128" s="44"/>
      <c r="K128" s="43"/>
    </row>
    <row r="129" spans="1:11">
      <c r="A129" s="50" t="s">
        <v>314</v>
      </c>
      <c r="G129" s="10">
        <v>1260000</v>
      </c>
      <c r="I129" s="34">
        <f>SUM(I130:I132)</f>
        <v>15000000</v>
      </c>
      <c r="J129" s="48"/>
      <c r="K129" s="49"/>
    </row>
    <row r="130" spans="1:11" hidden="1" outlineLevel="1">
      <c r="B130" s="36" t="s">
        <v>247</v>
      </c>
      <c r="D130" s="35">
        <v>551100</v>
      </c>
      <c r="F130" s="10"/>
      <c r="G130" s="10"/>
      <c r="I130" s="93">
        <v>15000000</v>
      </c>
      <c r="J130" s="48">
        <v>46219</v>
      </c>
      <c r="K130" s="57" t="s">
        <v>6823</v>
      </c>
    </row>
    <row r="131" spans="1:11" hidden="1" outlineLevel="1">
      <c r="B131" s="36" t="s">
        <v>508</v>
      </c>
      <c r="J131" s="48"/>
      <c r="K131" s="54"/>
    </row>
    <row r="132" spans="1:11" hidden="1" outlineLevel="1">
      <c r="B132" s="36" t="s">
        <v>253</v>
      </c>
      <c r="J132" s="48"/>
    </row>
    <row r="133" spans="1:11" collapsed="1">
      <c r="A133" s="43"/>
      <c r="B133" s="47"/>
      <c r="C133" s="46"/>
      <c r="D133" s="43"/>
      <c r="E133" s="43"/>
      <c r="F133" s="14"/>
      <c r="G133" s="14"/>
      <c r="H133" s="43"/>
      <c r="I133" s="45"/>
      <c r="J133" s="44"/>
      <c r="K133" s="43"/>
    </row>
    <row r="135" spans="1:11">
      <c r="A135" s="39" t="s">
        <v>189</v>
      </c>
      <c r="B135" s="42"/>
      <c r="C135" s="317"/>
      <c r="D135" s="39"/>
      <c r="E135" s="39"/>
      <c r="F135" s="15"/>
      <c r="G135" s="15">
        <f>SUM(G96:G134)</f>
        <v>394168000</v>
      </c>
      <c r="H135" s="39"/>
      <c r="I135" s="41">
        <f>I129+I127+I117+I103+I96</f>
        <v>197178621.17000002</v>
      </c>
      <c r="J135" s="40"/>
      <c r="K135" s="39"/>
    </row>
    <row r="137" spans="1:11">
      <c r="A137" s="38" t="s">
        <v>248</v>
      </c>
    </row>
    <row r="138" spans="1:11">
      <c r="A138" s="32" t="s">
        <v>249</v>
      </c>
    </row>
    <row r="139" spans="1:11">
      <c r="A139" s="32" t="s">
        <v>250</v>
      </c>
    </row>
    <row r="140" spans="1:11">
      <c r="A140" s="32" t="s">
        <v>251</v>
      </c>
      <c r="J140" s="37"/>
    </row>
    <row r="141" spans="1:11">
      <c r="J141" s="37"/>
    </row>
  </sheetData>
  <sheetProtection algorithmName="SHA-512" hashValue="mPe3m+sO0qQiFymaZSOYgVZ1dEMdRR2ev2uBKepKYbLSagOu8NNlIqviakEQ2n5fdJJ8LDDZyVsZ+pW9UIG7ow==" saltValue="Tr4HbQPa2seT8iN1T7GMTw==" spinCount="100000" sheet="1" objects="1" scenarios="1"/>
  <mergeCells count="6">
    <mergeCell ref="E95:G95"/>
    <mergeCell ref="A1:K1"/>
    <mergeCell ref="A3:J3"/>
    <mergeCell ref="A5:K5"/>
    <mergeCell ref="E7:G7"/>
    <mergeCell ref="A93:K93"/>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C8024-EA16-4791-BE90-4CC8047D33B5}">
  <dimension ref="A1:B94"/>
  <sheetViews>
    <sheetView workbookViewId="0">
      <pane ySplit="5" topLeftCell="A42" activePane="bottomLeft" state="frozen"/>
      <selection pane="bottomLeft" activeCell="E56" sqref="E56"/>
    </sheetView>
  </sheetViews>
  <sheetFormatPr defaultRowHeight="12.75"/>
  <cols>
    <col min="1" max="1" width="12.140625" bestFit="1" customWidth="1"/>
    <col min="2" max="2" width="30.5703125" bestFit="1" customWidth="1"/>
  </cols>
  <sheetData>
    <row r="1" spans="1:2" ht="15.75">
      <c r="A1" s="483" t="s">
        <v>30</v>
      </c>
      <c r="B1" s="483"/>
    </row>
    <row r="2" spans="1:2" ht="15.75">
      <c r="A2" s="483" t="s">
        <v>31</v>
      </c>
      <c r="B2" s="483"/>
    </row>
    <row r="3" spans="1:2" ht="15.75">
      <c r="A3" s="483" t="s">
        <v>32</v>
      </c>
      <c r="B3" s="483"/>
    </row>
    <row r="4" spans="1:2" ht="15.75">
      <c r="A4" s="339"/>
      <c r="B4" s="339"/>
    </row>
    <row r="5" spans="1:2">
      <c r="A5" s="340" t="s">
        <v>2125</v>
      </c>
      <c r="B5" s="340" t="s">
        <v>2124</v>
      </c>
    </row>
    <row r="6" spans="1:2">
      <c r="A6" s="2" t="s">
        <v>33</v>
      </c>
      <c r="B6" s="1" t="s">
        <v>34</v>
      </c>
    </row>
    <row r="7" spans="1:2">
      <c r="A7" s="2" t="s">
        <v>35</v>
      </c>
      <c r="B7" s="1" t="s">
        <v>36</v>
      </c>
    </row>
    <row r="8" spans="1:2">
      <c r="A8" s="2" t="s">
        <v>37</v>
      </c>
      <c r="B8" s="1" t="s">
        <v>38</v>
      </c>
    </row>
    <row r="9" spans="1:2">
      <c r="A9" s="2" t="s">
        <v>39</v>
      </c>
      <c r="B9" s="1" t="s">
        <v>40</v>
      </c>
    </row>
    <row r="10" spans="1:2">
      <c r="A10" s="2" t="s">
        <v>41</v>
      </c>
      <c r="B10" s="1" t="s">
        <v>42</v>
      </c>
    </row>
    <row r="11" spans="1:2">
      <c r="A11" s="2" t="s">
        <v>43</v>
      </c>
      <c r="B11" s="1" t="s">
        <v>44</v>
      </c>
    </row>
    <row r="12" spans="1:2">
      <c r="A12" s="2" t="s">
        <v>45</v>
      </c>
      <c r="B12" s="1" t="s">
        <v>46</v>
      </c>
    </row>
    <row r="13" spans="1:2">
      <c r="A13" s="2" t="s">
        <v>47</v>
      </c>
      <c r="B13" s="1" t="s">
        <v>48</v>
      </c>
    </row>
    <row r="14" spans="1:2">
      <c r="A14" s="2" t="s">
        <v>49</v>
      </c>
      <c r="B14" s="1" t="s">
        <v>50</v>
      </c>
    </row>
    <row r="15" spans="1:2">
      <c r="A15" s="2" t="s">
        <v>51</v>
      </c>
      <c r="B15" s="1" t="s">
        <v>52</v>
      </c>
    </row>
    <row r="16" spans="1:2">
      <c r="A16" s="2" t="s">
        <v>53</v>
      </c>
      <c r="B16" s="1" t="s">
        <v>54</v>
      </c>
    </row>
    <row r="17" spans="1:2">
      <c r="A17" s="2" t="s">
        <v>55</v>
      </c>
      <c r="B17" s="1" t="s">
        <v>56</v>
      </c>
    </row>
    <row r="18" spans="1:2">
      <c r="A18" s="2" t="s">
        <v>57</v>
      </c>
      <c r="B18" s="1" t="s">
        <v>58</v>
      </c>
    </row>
    <row r="19" spans="1:2">
      <c r="A19" s="2" t="s">
        <v>59</v>
      </c>
      <c r="B19" s="1" t="s">
        <v>60</v>
      </c>
    </row>
    <row r="20" spans="1:2">
      <c r="A20" s="2" t="s">
        <v>14</v>
      </c>
      <c r="B20" s="1" t="s">
        <v>61</v>
      </c>
    </row>
    <row r="21" spans="1:2">
      <c r="A21" s="2" t="s">
        <v>62</v>
      </c>
      <c r="B21" s="1" t="s">
        <v>63</v>
      </c>
    </row>
    <row r="22" spans="1:2">
      <c r="A22" s="2" t="s">
        <v>64</v>
      </c>
      <c r="B22" s="1" t="s">
        <v>65</v>
      </c>
    </row>
    <row r="23" spans="1:2">
      <c r="A23" s="2" t="s">
        <v>66</v>
      </c>
      <c r="B23" s="1" t="s">
        <v>67</v>
      </c>
    </row>
    <row r="24" spans="1:2">
      <c r="A24" s="2" t="s">
        <v>68</v>
      </c>
      <c r="B24" s="1" t="s">
        <v>69</v>
      </c>
    </row>
    <row r="25" spans="1:2">
      <c r="A25" s="2" t="s">
        <v>12</v>
      </c>
      <c r="B25" s="1" t="s">
        <v>70</v>
      </c>
    </row>
    <row r="26" spans="1:2">
      <c r="A26" s="2" t="s">
        <v>71</v>
      </c>
      <c r="B26" s="1" t="s">
        <v>72</v>
      </c>
    </row>
    <row r="27" spans="1:2">
      <c r="A27" s="2" t="s">
        <v>11</v>
      </c>
      <c r="B27" s="1" t="s">
        <v>73</v>
      </c>
    </row>
    <row r="28" spans="1:2">
      <c r="A28" s="2" t="s">
        <v>16</v>
      </c>
      <c r="B28" s="1" t="s">
        <v>74</v>
      </c>
    </row>
    <row r="29" spans="1:2">
      <c r="A29" s="2" t="s">
        <v>75</v>
      </c>
      <c r="B29" s="1" t="s">
        <v>76</v>
      </c>
    </row>
    <row r="30" spans="1:2">
      <c r="A30" s="2" t="s">
        <v>77</v>
      </c>
      <c r="B30" s="1" t="s">
        <v>78</v>
      </c>
    </row>
    <row r="31" spans="1:2">
      <c r="A31" s="2" t="s">
        <v>79</v>
      </c>
      <c r="B31" s="1" t="s">
        <v>80</v>
      </c>
    </row>
    <row r="32" spans="1:2">
      <c r="A32" s="2" t="s">
        <v>81</v>
      </c>
      <c r="B32" s="1" t="s">
        <v>82</v>
      </c>
    </row>
    <row r="33" spans="1:2">
      <c r="A33" s="2" t="s">
        <v>83</v>
      </c>
      <c r="B33" s="1" t="s">
        <v>84</v>
      </c>
    </row>
    <row r="34" spans="1:2">
      <c r="A34" s="2" t="s">
        <v>13</v>
      </c>
      <c r="B34" s="1" t="s">
        <v>85</v>
      </c>
    </row>
    <row r="35" spans="1:2">
      <c r="A35" s="2" t="s">
        <v>86</v>
      </c>
      <c r="B35" s="1" t="s">
        <v>87</v>
      </c>
    </row>
    <row r="36" spans="1:2">
      <c r="A36" s="2" t="s">
        <v>88</v>
      </c>
      <c r="B36" s="1" t="s">
        <v>89</v>
      </c>
    </row>
    <row r="37" spans="1:2">
      <c r="A37" s="2" t="s">
        <v>90</v>
      </c>
      <c r="B37" s="1" t="s">
        <v>91</v>
      </c>
    </row>
    <row r="38" spans="1:2">
      <c r="A38" s="2" t="s">
        <v>92</v>
      </c>
      <c r="B38" s="1" t="s">
        <v>93</v>
      </c>
    </row>
    <row r="39" spans="1:2">
      <c r="A39" s="2" t="s">
        <v>94</v>
      </c>
      <c r="B39" s="1" t="s">
        <v>95</v>
      </c>
    </row>
    <row r="40" spans="1:2">
      <c r="A40" s="2" t="s">
        <v>96</v>
      </c>
      <c r="B40" s="1" t="s">
        <v>97</v>
      </c>
    </row>
    <row r="41" spans="1:2">
      <c r="A41" s="2" t="s">
        <v>337</v>
      </c>
      <c r="B41" s="1" t="s">
        <v>340</v>
      </c>
    </row>
    <row r="42" spans="1:2">
      <c r="A42" s="2" t="s">
        <v>98</v>
      </c>
      <c r="B42" s="1" t="s">
        <v>99</v>
      </c>
    </row>
    <row r="43" spans="1:2">
      <c r="A43" s="2" t="s">
        <v>100</v>
      </c>
      <c r="B43" s="1" t="s">
        <v>101</v>
      </c>
    </row>
    <row r="44" spans="1:2">
      <c r="A44" s="2" t="s">
        <v>102</v>
      </c>
      <c r="B44" s="1" t="s">
        <v>103</v>
      </c>
    </row>
    <row r="45" spans="1:2">
      <c r="A45" s="2" t="s">
        <v>104</v>
      </c>
      <c r="B45" s="1" t="s">
        <v>105</v>
      </c>
    </row>
    <row r="46" spans="1:2">
      <c r="A46" s="2" t="s">
        <v>106</v>
      </c>
      <c r="B46" s="1" t="s">
        <v>107</v>
      </c>
    </row>
    <row r="47" spans="1:2">
      <c r="A47" s="2" t="s">
        <v>108</v>
      </c>
      <c r="B47" s="1" t="s">
        <v>109</v>
      </c>
    </row>
    <row r="48" spans="1:2">
      <c r="A48" s="2" t="s">
        <v>110</v>
      </c>
      <c r="B48" s="3" t="s">
        <v>111</v>
      </c>
    </row>
    <row r="49" spans="1:2">
      <c r="A49" s="2" t="s">
        <v>112</v>
      </c>
      <c r="B49" s="3" t="s">
        <v>113</v>
      </c>
    </row>
    <row r="50" spans="1:2">
      <c r="A50" s="2" t="s">
        <v>114</v>
      </c>
      <c r="B50" s="3" t="s">
        <v>115</v>
      </c>
    </row>
    <row r="51" spans="1:2">
      <c r="A51" s="2" t="s">
        <v>2126</v>
      </c>
      <c r="B51" s="3" t="s">
        <v>2127</v>
      </c>
    </row>
    <row r="52" spans="1:2">
      <c r="A52" s="2" t="s">
        <v>2128</v>
      </c>
      <c r="B52" s="3" t="s">
        <v>2129</v>
      </c>
    </row>
    <row r="53" spans="1:2">
      <c r="A53" s="2" t="s">
        <v>116</v>
      </c>
      <c r="B53" s="3" t="s">
        <v>117</v>
      </c>
    </row>
    <row r="54" spans="1:2">
      <c r="A54" s="2" t="s">
        <v>118</v>
      </c>
      <c r="B54" s="3" t="s">
        <v>119</v>
      </c>
    </row>
    <row r="55" spans="1:2">
      <c r="A55" s="2" t="s">
        <v>120</v>
      </c>
      <c r="B55" s="3" t="s">
        <v>121</v>
      </c>
    </row>
    <row r="56" spans="1:2">
      <c r="A56" s="2" t="s">
        <v>122</v>
      </c>
      <c r="B56" s="3" t="s">
        <v>123</v>
      </c>
    </row>
    <row r="57" spans="1:2">
      <c r="A57" s="2" t="s">
        <v>124</v>
      </c>
      <c r="B57" s="3" t="s">
        <v>125</v>
      </c>
    </row>
    <row r="58" spans="1:2">
      <c r="A58" s="2" t="s">
        <v>126</v>
      </c>
      <c r="B58" s="3" t="s">
        <v>127</v>
      </c>
    </row>
    <row r="59" spans="1:2">
      <c r="A59" s="2" t="s">
        <v>128</v>
      </c>
      <c r="B59" s="3" t="s">
        <v>129</v>
      </c>
    </row>
    <row r="60" spans="1:2">
      <c r="A60" s="2" t="s">
        <v>130</v>
      </c>
      <c r="B60" s="3" t="s">
        <v>131</v>
      </c>
    </row>
    <row r="61" spans="1:2">
      <c r="A61" s="2" t="s">
        <v>9</v>
      </c>
      <c r="B61" s="3" t="s">
        <v>132</v>
      </c>
    </row>
    <row r="62" spans="1:2">
      <c r="A62" s="2" t="s">
        <v>133</v>
      </c>
      <c r="B62" s="3" t="s">
        <v>134</v>
      </c>
    </row>
    <row r="63" spans="1:2">
      <c r="A63" s="2" t="s">
        <v>135</v>
      </c>
      <c r="B63" s="3" t="s">
        <v>136</v>
      </c>
    </row>
    <row r="64" spans="1:2">
      <c r="A64" s="2" t="s">
        <v>137</v>
      </c>
      <c r="B64" s="3" t="s">
        <v>134</v>
      </c>
    </row>
    <row r="65" spans="1:2">
      <c r="A65" s="2" t="s">
        <v>138</v>
      </c>
      <c r="B65" s="3" t="s">
        <v>139</v>
      </c>
    </row>
    <row r="66" spans="1:2">
      <c r="A66" s="2" t="s">
        <v>140</v>
      </c>
      <c r="B66" s="3" t="s">
        <v>141</v>
      </c>
    </row>
    <row r="67" spans="1:2">
      <c r="A67" s="2" t="s">
        <v>142</v>
      </c>
      <c r="B67" s="3" t="s">
        <v>143</v>
      </c>
    </row>
    <row r="68" spans="1:2">
      <c r="A68" s="2" t="s">
        <v>2131</v>
      </c>
      <c r="B68" s="3" t="s">
        <v>2133</v>
      </c>
    </row>
    <row r="69" spans="1:2">
      <c r="A69" s="2" t="s">
        <v>2130</v>
      </c>
      <c r="B69" s="3" t="s">
        <v>2134</v>
      </c>
    </row>
    <row r="70" spans="1:2">
      <c r="A70" s="2" t="s">
        <v>144</v>
      </c>
      <c r="B70" s="3" t="s">
        <v>145</v>
      </c>
    </row>
    <row r="71" spans="1:2">
      <c r="A71" s="2" t="s">
        <v>146</v>
      </c>
      <c r="B71" s="3" t="s">
        <v>147</v>
      </c>
    </row>
    <row r="72" spans="1:2">
      <c r="A72" s="2" t="s">
        <v>148</v>
      </c>
      <c r="B72" s="3" t="s">
        <v>149</v>
      </c>
    </row>
    <row r="73" spans="1:2">
      <c r="A73" s="2" t="s">
        <v>150</v>
      </c>
      <c r="B73" s="3" t="s">
        <v>151</v>
      </c>
    </row>
    <row r="74" spans="1:2">
      <c r="A74" s="2" t="s">
        <v>152</v>
      </c>
      <c r="B74" s="3" t="s">
        <v>153</v>
      </c>
    </row>
    <row r="75" spans="1:2">
      <c r="A75" s="2" t="s">
        <v>7</v>
      </c>
      <c r="B75" s="3" t="s">
        <v>154</v>
      </c>
    </row>
    <row r="76" spans="1:2">
      <c r="A76" s="2" t="s">
        <v>155</v>
      </c>
      <c r="B76" s="3" t="s">
        <v>156</v>
      </c>
    </row>
    <row r="77" spans="1:2">
      <c r="A77" s="2" t="s">
        <v>2132</v>
      </c>
      <c r="B77" s="3" t="s">
        <v>2135</v>
      </c>
    </row>
    <row r="78" spans="1:2">
      <c r="A78" s="2" t="s">
        <v>2113</v>
      </c>
      <c r="B78" s="1" t="s">
        <v>342</v>
      </c>
    </row>
    <row r="79" spans="1:2">
      <c r="A79" s="2" t="s">
        <v>157</v>
      </c>
      <c r="B79" s="3" t="s">
        <v>158</v>
      </c>
    </row>
    <row r="80" spans="1:2">
      <c r="A80" s="2" t="s">
        <v>159</v>
      </c>
      <c r="B80" s="3" t="s">
        <v>160</v>
      </c>
    </row>
    <row r="81" spans="1:2">
      <c r="A81" s="2" t="s">
        <v>161</v>
      </c>
      <c r="B81" s="3" t="s">
        <v>162</v>
      </c>
    </row>
    <row r="82" spans="1:2">
      <c r="A82" s="2" t="s">
        <v>163</v>
      </c>
      <c r="B82" s="3" t="s">
        <v>164</v>
      </c>
    </row>
    <row r="83" spans="1:2">
      <c r="A83" s="2" t="s">
        <v>8</v>
      </c>
      <c r="B83" s="3" t="s">
        <v>165</v>
      </c>
    </row>
    <row r="84" spans="1:2">
      <c r="A84" s="2" t="s">
        <v>166</v>
      </c>
      <c r="B84" s="3" t="s">
        <v>167</v>
      </c>
    </row>
    <row r="85" spans="1:2">
      <c r="A85" s="2" t="s">
        <v>168</v>
      </c>
      <c r="B85" s="3" t="s">
        <v>169</v>
      </c>
    </row>
    <row r="86" spans="1:2">
      <c r="A86" s="2" t="s">
        <v>170</v>
      </c>
      <c r="B86" s="3" t="s">
        <v>171</v>
      </c>
    </row>
    <row r="87" spans="1:2">
      <c r="A87" s="2" t="s">
        <v>172</v>
      </c>
      <c r="B87" s="3" t="s">
        <v>173</v>
      </c>
    </row>
    <row r="88" spans="1:2">
      <c r="A88" s="2" t="s">
        <v>174</v>
      </c>
      <c r="B88" s="3" t="s">
        <v>175</v>
      </c>
    </row>
    <row r="89" spans="1:2">
      <c r="A89" s="2" t="s">
        <v>176</v>
      </c>
      <c r="B89" s="3" t="s">
        <v>177</v>
      </c>
    </row>
    <row r="90" spans="1:2">
      <c r="A90" s="2" t="s">
        <v>351</v>
      </c>
      <c r="B90" s="1" t="s">
        <v>341</v>
      </c>
    </row>
    <row r="91" spans="1:2">
      <c r="A91" s="2" t="s">
        <v>178</v>
      </c>
      <c r="B91" s="3" t="s">
        <v>179</v>
      </c>
    </row>
    <row r="92" spans="1:2">
      <c r="A92" s="2" t="s">
        <v>180</v>
      </c>
      <c r="B92" s="3" t="s">
        <v>181</v>
      </c>
    </row>
    <row r="93" spans="1:2">
      <c r="A93" s="2" t="s">
        <v>182</v>
      </c>
      <c r="B93" s="3" t="s">
        <v>183</v>
      </c>
    </row>
    <row r="94" spans="1:2">
      <c r="A94" s="2" t="s">
        <v>15</v>
      </c>
      <c r="B94" s="3" t="s">
        <v>184</v>
      </c>
    </row>
  </sheetData>
  <sheetProtection algorithmName="SHA-512" hashValue="BX7ps9rpboUEje5x78SEnoZv1Hir2YN+tKqEAyKtQ7iwz/sswZ46LX7vyogrpUoXMlL+U6WsSu/8vdlqtygilg==" saltValue="L0R6VinaBta840FaXUde0Q==" spinCount="100000" sheet="1" objects="1" scenarios="1"/>
  <autoFilter ref="A5:B5" xr:uid="{1F0C8024-EA16-4791-BE90-4CC8047D33B5}">
    <sortState xmlns:xlrd2="http://schemas.microsoft.com/office/spreadsheetml/2017/richdata2" ref="A6:B89">
      <sortCondition ref="A5"/>
    </sortState>
  </autoFilter>
  <mergeCells count="3">
    <mergeCell ref="A1:B1"/>
    <mergeCell ref="A2:B2"/>
    <mergeCell ref="A3: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Dashboard</vt:lpstr>
      <vt:lpstr>Data</vt:lpstr>
      <vt:lpstr>Activity</vt:lpstr>
      <vt:lpstr>Detail</vt:lpstr>
      <vt:lpstr>Monthly Projections June</vt:lpstr>
      <vt:lpstr>Monthly Projections July</vt:lpstr>
      <vt:lpstr>Source Codes</vt:lpstr>
      <vt:lpstr>Dashboard!Print_Area</vt:lpstr>
      <vt:lpstr>Activity!Print_Titles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sporte</dc:creator>
  <cp:lastModifiedBy>Viruega, Maria C</cp:lastModifiedBy>
  <cp:lastPrinted>2026-07-27T15:05:39Z</cp:lastPrinted>
  <dcterms:created xsi:type="dcterms:W3CDTF">2010-08-11T15:54:08Z</dcterms:created>
  <dcterms:modified xsi:type="dcterms:W3CDTF">2026-07-27T17:44:51Z</dcterms:modified>
</cp:coreProperties>
</file>